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xr:revisionPtr revIDLastSave="0" documentId="11_3139EAE2218507B03D8FA9288D4356F4BAD05E43" xr6:coauthVersionLast="47" xr6:coauthVersionMax="47" xr10:uidLastSave="{00000000-0000-0000-0000-000000000000}"/>
  <bookViews>
    <workbookView xWindow="0" yWindow="0" windowWidth="0" windowHeight="0" xr2:uid="{00000000-000D-0000-FFFF-FFFF00000000}"/>
  </bookViews>
  <sheets>
    <sheet name="Auction Sales" sheetId="1" r:id="rId1"/>
    <sheet name="Lis Pendens"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2" l="1"/>
  <c r="I24" i="2"/>
  <c r="I23" i="2"/>
  <c r="I22" i="2"/>
  <c r="I21" i="2"/>
  <c r="I20" i="2"/>
  <c r="I19" i="2"/>
  <c r="I18" i="2"/>
  <c r="I17" i="2"/>
  <c r="I16" i="2"/>
  <c r="I15" i="2"/>
  <c r="I14" i="2"/>
  <c r="I13" i="2"/>
  <c r="I12" i="2"/>
  <c r="I11" i="2"/>
  <c r="I10" i="2"/>
  <c r="I9" i="2"/>
  <c r="I8" i="2"/>
  <c r="I7" i="2"/>
  <c r="I6" i="2"/>
  <c r="N370" i="1"/>
  <c r="N369" i="1"/>
  <c r="N368" i="1"/>
  <c r="N367" i="1"/>
  <c r="N366" i="1"/>
  <c r="N365" i="1"/>
  <c r="N364" i="1"/>
  <c r="N363" i="1"/>
  <c r="N362" i="1"/>
  <c r="N361" i="1"/>
  <c r="N360" i="1"/>
  <c r="N359" i="1"/>
  <c r="N358" i="1"/>
  <c r="N357" i="1"/>
  <c r="N356" i="1"/>
  <c r="N355" i="1"/>
  <c r="N354" i="1"/>
  <c r="N353" i="1"/>
  <c r="N352" i="1"/>
  <c r="N351" i="1"/>
  <c r="N350" i="1"/>
  <c r="N349" i="1"/>
  <c r="N348" i="1"/>
  <c r="N347" i="1"/>
  <c r="N346" i="1"/>
  <c r="N345" i="1"/>
  <c r="N344" i="1"/>
  <c r="N343" i="1"/>
  <c r="N342" i="1"/>
  <c r="N341" i="1"/>
  <c r="N340" i="1"/>
  <c r="N339" i="1"/>
  <c r="N338" i="1"/>
  <c r="N337" i="1"/>
  <c r="N336" i="1"/>
  <c r="N335" i="1"/>
  <c r="N334" i="1"/>
  <c r="N333" i="1"/>
  <c r="N332" i="1"/>
  <c r="N331" i="1"/>
  <c r="N330" i="1"/>
  <c r="N329" i="1"/>
  <c r="N328" i="1"/>
  <c r="N327" i="1"/>
  <c r="N326" i="1"/>
  <c r="N325" i="1"/>
  <c r="N324" i="1"/>
  <c r="N323" i="1"/>
  <c r="N322" i="1"/>
  <c r="N321" i="1"/>
  <c r="N320" i="1"/>
  <c r="N319" i="1"/>
  <c r="N318" i="1"/>
  <c r="N317" i="1"/>
  <c r="N316" i="1"/>
  <c r="N315" i="1"/>
  <c r="N314" i="1"/>
  <c r="N313" i="1"/>
  <c r="N312" i="1"/>
  <c r="N311" i="1"/>
  <c r="N310" i="1"/>
  <c r="N309" i="1"/>
  <c r="N308" i="1"/>
  <c r="N307" i="1"/>
  <c r="N306" i="1"/>
  <c r="N305" i="1"/>
  <c r="N304" i="1"/>
  <c r="N303" i="1"/>
  <c r="N302" i="1"/>
  <c r="N301" i="1"/>
  <c r="N300" i="1"/>
  <c r="N299" i="1"/>
  <c r="N298" i="1"/>
  <c r="N297" i="1"/>
  <c r="N296" i="1"/>
  <c r="N295" i="1"/>
  <c r="N294" i="1"/>
  <c r="N293" i="1"/>
  <c r="N292" i="1"/>
  <c r="N291" i="1"/>
  <c r="N290" i="1"/>
  <c r="N289" i="1"/>
  <c r="N288" i="1"/>
  <c r="N287" i="1"/>
  <c r="N286" i="1"/>
  <c r="N285" i="1"/>
  <c r="N284" i="1"/>
  <c r="N283" i="1"/>
  <c r="N282" i="1"/>
  <c r="N281" i="1"/>
  <c r="N280" i="1"/>
  <c r="N279" i="1"/>
  <c r="N278" i="1"/>
  <c r="N277" i="1"/>
  <c r="N276" i="1"/>
  <c r="N275" i="1"/>
  <c r="N274" i="1"/>
  <c r="N273" i="1"/>
  <c r="N272" i="1"/>
  <c r="N271" i="1"/>
  <c r="N270" i="1"/>
  <c r="N269" i="1"/>
  <c r="N268" i="1"/>
  <c r="N267" i="1"/>
  <c r="N266" i="1"/>
  <c r="N265" i="1"/>
  <c r="N264" i="1"/>
  <c r="N263" i="1"/>
  <c r="N262" i="1"/>
  <c r="N261" i="1"/>
  <c r="N260" i="1"/>
  <c r="N259" i="1"/>
  <c r="N258" i="1"/>
  <c r="N257" i="1"/>
  <c r="N256" i="1"/>
  <c r="N255" i="1"/>
  <c r="N254" i="1"/>
  <c r="N253" i="1"/>
  <c r="N252" i="1"/>
  <c r="N251" i="1"/>
  <c r="N250" i="1"/>
  <c r="N249" i="1"/>
  <c r="N248" i="1"/>
  <c r="N247" i="1"/>
  <c r="N246" i="1"/>
  <c r="N245" i="1"/>
  <c r="N244" i="1"/>
  <c r="N243" i="1"/>
  <c r="N242" i="1"/>
  <c r="N241" i="1"/>
  <c r="N240" i="1"/>
  <c r="N239" i="1"/>
  <c r="N238" i="1"/>
  <c r="N237" i="1"/>
  <c r="N236" i="1"/>
  <c r="N235" i="1"/>
  <c r="N234" i="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alcChain>
</file>

<file path=xl/sharedStrings.xml><?xml version="1.0" encoding="utf-8"?>
<sst xmlns="http://schemas.openxmlformats.org/spreadsheetml/2006/main" count="6229" uniqueCount="3537">
  <si>
    <t>COUNTY</t>
  </si>
  <si>
    <t>SECTION</t>
  </si>
  <si>
    <t>AUCTION SALE DATE</t>
  </si>
  <si>
    <t>AUCTION TIME</t>
  </si>
  <si>
    <t>OUTCOME</t>
  </si>
  <si>
    <t>INDEX NO</t>
  </si>
  <si>
    <t>YEAR FILED</t>
  </si>
  <si>
    <t>CAPTION</t>
  </si>
  <si>
    <t>PLAINTIFF</t>
  </si>
  <si>
    <t>DEFENDANT(S)</t>
  </si>
  <si>
    <t>DEFENDANT 1</t>
  </si>
  <si>
    <t>DEFENDANT 2</t>
  </si>
  <si>
    <t>PROPERTY FULL ADDRESS</t>
  </si>
  <si>
    <t>MAP</t>
  </si>
  <si>
    <t>STREET ADDRESS</t>
  </si>
  <si>
    <t>CITY</t>
  </si>
  <si>
    <t>STATE</t>
  </si>
  <si>
    <t>ZIP CODE</t>
  </si>
  <si>
    <t>TAX MAP INFO</t>
  </si>
  <si>
    <t>JUDGMENT AMOUNT</t>
  </si>
  <si>
    <t>JUDGMENT DATE</t>
  </si>
  <si>
    <t>MORTGAGE DATE</t>
  </si>
  <si>
    <t>MORTGAGE AMOUNT</t>
  </si>
  <si>
    <t>MOD MTGE DATE</t>
  </si>
  <si>
    <t>MOD MTGE AMOUNT</t>
  </si>
  <si>
    <t>PLAINTIFF ATTY NAME</t>
  </si>
  <si>
    <t>PLAINTIFF ATTY FIRM</t>
  </si>
  <si>
    <t>PLAINTIFF ATTY ADDRESS</t>
  </si>
  <si>
    <t>PLAINTIFF ATTY TEL</t>
  </si>
  <si>
    <t>REFEREE NAME</t>
  </si>
  <si>
    <t>REFEREE TEL.</t>
  </si>
  <si>
    <t>QUEENS</t>
  </si>
  <si>
    <t>11:00 AM</t>
  </si>
  <si>
    <t xml:space="preserve">Not Held
</t>
  </si>
  <si>
    <t>728242/2021</t>
  </si>
  <si>
    <t>HSBC Bank USA, National Association, vs. Quinones, David et al</t>
  </si>
  <si>
    <t>HSBC Bank USA, National Association</t>
  </si>
  <si>
    <t>David Quinones; George Quinones</t>
  </si>
  <si>
    <t>David Quinones</t>
  </si>
  <si>
    <t>George Quinones</t>
  </si>
  <si>
    <t>17323 106th Avenue, Jamaica, NY 11433</t>
  </si>
  <si>
    <t>17323 106th Avenue</t>
  </si>
  <si>
    <t>Jamaica</t>
  </si>
  <si>
    <t>NY</t>
  </si>
  <si>
    <t>Block 10235 Lot 364</t>
  </si>
  <si>
    <t>LOGS Legal Group LLP f/k/a Shapiro, DiCaro &amp; Barak, LLC</t>
  </si>
  <si>
    <t>175 Mile Crossing Boulevard, Rochester, New York 14624</t>
  </si>
  <si>
    <t>877.430.4792</t>
  </si>
  <si>
    <t>Stephanie S. Goldstone, Esq.</t>
  </si>
  <si>
    <t>10:00 AM</t>
  </si>
  <si>
    <t>710882/2015</t>
  </si>
  <si>
    <t>HSBC BANK USA, NATIONAL vs. TEJADA, YVETTE</t>
  </si>
  <si>
    <t>HSBC BANK USA, NATIONAL ASSOCIATION, AS TRUSTEE FOR NOMURA HOME EQUITY LOAN, INC., ASSET-BACKED CERTIFICATES, SERIES 2006-FM2</t>
  </si>
  <si>
    <t>YVETTE TEJADA A/K/A YVETTE GOMEZ</t>
  </si>
  <si>
    <t>YVETTE TEJADA</t>
  </si>
  <si>
    <t>YVETTE GOMEZ</t>
  </si>
  <si>
    <t>2730 BUTLER STREET, EAST ELMHURST, NY 11369</t>
  </si>
  <si>
    <t>2730 BUTLER STREET</t>
  </si>
  <si>
    <t>EAST ELMHURST</t>
  </si>
  <si>
    <t>1664-20</t>
  </si>
  <si>
    <t>Robertson, Anschutz, Schneid, Crane &amp; Partners, PLLC</t>
  </si>
  <si>
    <t>900 Merchants Concourse, Suite 310, Westbury, New York 11590</t>
  </si>
  <si>
    <t>Neda N. Melamed, Esq.</t>
  </si>
  <si>
    <t>716466/2023</t>
  </si>
  <si>
    <t>TITAN CAPITAL ID, LLC vs. CHEN, HUI et al</t>
  </si>
  <si>
    <t>TITAN CAPITAL ID, LLC</t>
  </si>
  <si>
    <t>HUI CHEN</t>
  </si>
  <si>
    <t>136-31 41st Avenue, Unit 2B, Flushing, NY 11355</t>
  </si>
  <si>
    <t>136-31 41st Avenue, Unit 2B</t>
  </si>
  <si>
    <t>Flushing</t>
  </si>
  <si>
    <t>Block 5019 and Lot 1008</t>
  </si>
  <si>
    <t>Vallely Mitola Ryan PLLC</t>
  </si>
  <si>
    <t>6851 Jericho Turnpike, Suite 165, Syosset, New York 11791</t>
  </si>
  <si>
    <t>Craig D. Zim, Esq.</t>
  </si>
  <si>
    <t>710371/2024</t>
  </si>
  <si>
    <t>US BANK, N.A. vs. DESTIL, NANIVE ETAL.</t>
  </si>
  <si>
    <t>U.S. BANK, Ν.Α.</t>
  </si>
  <si>
    <t>NANIVE DESTIL</t>
  </si>
  <si>
    <t>197-17 JAMAICA AVENUE, HOLLIS, NY 11423</t>
  </si>
  <si>
    <t>197-17 JAMAICA AVENUE</t>
  </si>
  <si>
    <t>HOLLIS</t>
  </si>
  <si>
    <t>10466-91</t>
  </si>
  <si>
    <t>Cheryl J. Kinch, Esq.</t>
  </si>
  <si>
    <t>717460/2022</t>
  </si>
  <si>
    <t>MIDFIRST BANK vs. ISAACS, SIMONE K et al</t>
  </si>
  <si>
    <t>MIDFIRST BANK</t>
  </si>
  <si>
    <t>SIMONE K. ISAACS</t>
  </si>
  <si>
    <t>220-32 137th Avenue, Springfield Gardens, NY 11413</t>
  </si>
  <si>
    <t>220-32 137th Avenue</t>
  </si>
  <si>
    <t>Springfield Gardens</t>
  </si>
  <si>
    <t>Block 13125 and Lot 28</t>
  </si>
  <si>
    <t>Gross Polowy, LLC</t>
  </si>
  <si>
    <t>1775 Wehrle Drive, Williamsville, NY 14221</t>
  </si>
  <si>
    <t>Michael A. Cervini, Esq.</t>
  </si>
  <si>
    <t>702456/2020</t>
  </si>
  <si>
    <t>DLJ MORTGAGE CAPITAL INC. vs. CARMEN L. SANTANA et al</t>
  </si>
  <si>
    <t>DLJ MORTGAGE CAPITAL INC.</t>
  </si>
  <si>
    <t>CARMEN L. SANTANA</t>
  </si>
  <si>
    <t>87-47 98TH STREET, WOODHAVEN, NY 11421</t>
  </si>
  <si>
    <t>87-47 98TH STREET</t>
  </si>
  <si>
    <t>WOODHAVEN</t>
  </si>
  <si>
    <t>9286-109</t>
  </si>
  <si>
    <t>Joseph N. Misk, Esq.</t>
  </si>
  <si>
    <t>709547/2019</t>
  </si>
  <si>
    <t>JPMORGAN CHASE BANK, vs. A HING, STANLEY C. ETAL</t>
  </si>
  <si>
    <t>JPMorgan Chase Bank, National Association</t>
  </si>
  <si>
    <t>Stanley C. A Hing a/k/a Stanley A Hing a/k/a Stanley Chung A-Hing a/k/a Stanley Chung-A-Hing</t>
  </si>
  <si>
    <t>Terry Chung-A-Hing</t>
  </si>
  <si>
    <t>104-53 121st Street, South Richmond Hill, NY 11419</t>
  </si>
  <si>
    <t>104-53 121st Street</t>
  </si>
  <si>
    <t>South Richmond Hill</t>
  </si>
  <si>
    <t>Block: 9575 Lot: 52</t>
  </si>
  <si>
    <t>Justin Valle, Esq.</t>
  </si>
  <si>
    <t>SHAPIRO, DICARO &amp; BARAK, LLC</t>
  </si>
  <si>
    <t>(585) 247-9000</t>
  </si>
  <si>
    <t>Queens</t>
  </si>
  <si>
    <t>709254/2014</t>
  </si>
  <si>
    <t>HSBC BANK USA, NATIONAL vs. NUNEZ, MIRIAM M. ETAL</t>
  </si>
  <si>
    <t>HSBC BANK USA, NATIONAL ASSOCIATION</t>
  </si>
  <si>
    <t>MIRIAM M. NUNEZ</t>
  </si>
  <si>
    <t>CESAR M. GALEAS</t>
  </si>
  <si>
    <t>92-18 48 Ave, Elmhurst, NY 11373</t>
  </si>
  <si>
    <t>92-18 48 Ave</t>
  </si>
  <si>
    <t>Elmhurst</t>
  </si>
  <si>
    <t>1863 - 21</t>
  </si>
  <si>
    <t>Todd Z. Marks, Esq.</t>
  </si>
  <si>
    <t>Woods Oviatt Gilman LLP</t>
  </si>
  <si>
    <t>700 Crossroads Building, 2 State St., Rochester, New York 14614</t>
  </si>
  <si>
    <t>855.227.5072</t>
  </si>
  <si>
    <t>Donna Furey, Esq.</t>
  </si>
  <si>
    <t>702867/2013</t>
  </si>
  <si>
    <t>WELLS FARGO BANK, N.A. vs. O'BERRY, HARRY ETAL</t>
  </si>
  <si>
    <t>Wells Fargo Bank, N.A.</t>
  </si>
  <si>
    <t>Harry O'Berry, Michael J. Sancho</t>
  </si>
  <si>
    <t>Harry O'Berry</t>
  </si>
  <si>
    <t>Michael J. Sancho</t>
  </si>
  <si>
    <t>14-90 Point Breeze Place, Far Rockaway, NY 11691</t>
  </si>
  <si>
    <t>14-90 Point Breeze Place</t>
  </si>
  <si>
    <t>Far Rockaway</t>
  </si>
  <si>
    <t>BLOCK: 15689, LOT: 29</t>
  </si>
  <si>
    <t>FRENKEL LAMBERT WEISS WEISMAN &amp; GORDON LLP</t>
  </si>
  <si>
    <t>Gerald Chiariello, II, Esq</t>
  </si>
  <si>
    <t>708974/2023</t>
  </si>
  <si>
    <t>U.S. Bank National Association vs. Defendini, George et al</t>
  </si>
  <si>
    <t>U.S. Bank National Association</t>
  </si>
  <si>
    <t>George Defendini, Defbear 91 39 85th Street LLC</t>
  </si>
  <si>
    <t>George Defendini</t>
  </si>
  <si>
    <t>91-39 85th Street, Woodhaven, NY 11421</t>
  </si>
  <si>
    <t>91-39 85th Street</t>
  </si>
  <si>
    <t>Woodhaven</t>
  </si>
  <si>
    <t>Block 8979, Lot 48</t>
  </si>
  <si>
    <t>Deana Cheli Esq.</t>
  </si>
  <si>
    <t>Frenkel, Lambert, Weiss, Weisman, &amp; Gordon, LLP</t>
  </si>
  <si>
    <t>53 Gibson Street, Bay Shore, New York 11706</t>
  </si>
  <si>
    <t>(631) 969-3100</t>
  </si>
  <si>
    <t>708759/2023</t>
  </si>
  <si>
    <t>The Bank of New York Mellon f/k/a The Bank of New York vs. Legall, Annmarie et al</t>
  </si>
  <si>
    <t>The Bank of New York Mellon f/k/a The Bank of New York as Trustee for Home Equity Loan Trust 2007-FRE1</t>
  </si>
  <si>
    <t>Annmarie Legall a/k/a Ann Marie Legall</t>
  </si>
  <si>
    <t>116-34 Marsden Street, Jamaica, NY 11434</t>
  </si>
  <si>
    <t>116-34 Marsden Street</t>
  </si>
  <si>
    <t>Block 12335 Lot 113</t>
  </si>
  <si>
    <t>(877) 430-4792</t>
  </si>
  <si>
    <t>Richard M. Gutierrez, Esq.</t>
  </si>
  <si>
    <t>703059/2021</t>
  </si>
  <si>
    <t>DITECH FINANCIAL LLF vs. LLOYD, MARLON ETAL.</t>
  </si>
  <si>
    <t>DITECH FINANCIAL LLC</t>
  </si>
  <si>
    <t>MARLON LLOYD</t>
  </si>
  <si>
    <t>100-35 200TH ST, HOLLIS, NY 11423</t>
  </si>
  <si>
    <t>100-35 200TH ST</t>
  </si>
  <si>
    <t>10867-50</t>
  </si>
  <si>
    <t>Warren S. Hecht, Esq.</t>
  </si>
  <si>
    <t>724440/2022</t>
  </si>
  <si>
    <t>WILMINGTON SAVINGS FUND SOCIETY, FSB, vs. DODD, MARLENE et al</t>
  </si>
  <si>
    <t>WILMINGTON SAVINGS FUND SOCIETY</t>
  </si>
  <si>
    <t>MARLENE DODD</t>
  </si>
  <si>
    <t>227-07 108th Avenue, Queens Village, NY 11429</t>
  </si>
  <si>
    <t>227-07 108th Avenue</t>
  </si>
  <si>
    <t>Queens Village</t>
  </si>
  <si>
    <t>Block 11193, Lot 15</t>
  </si>
  <si>
    <t>HILL WALLACK LLP</t>
  </si>
  <si>
    <t>261 Madison Avenue, New York, NY</t>
  </si>
  <si>
    <t>RICHARD GUTIERREZ, Esq.</t>
  </si>
  <si>
    <t>722969/2022</t>
  </si>
  <si>
    <t>THE BANK OF NEW YORK MELLON vs. JOHNSON, KENNETH et al</t>
  </si>
  <si>
    <t>THE BANK OF NEW YORK MELLON FKA THE BANK OF NEW YORK, AS TRUSTEE FOR THE CERTIFICATEHOLDERS OF THE CWABS, INC., ASSET-BACKED CERTIFICATES, SERIES 2006-14</t>
  </si>
  <si>
    <t>KENNETH JOHNSON</t>
  </si>
  <si>
    <t>130-07 228 STREET, LAURELTON, NY 11413</t>
  </si>
  <si>
    <t>130-07 228 STREET</t>
  </si>
  <si>
    <t>LAURELTON</t>
  </si>
  <si>
    <t>12906-33</t>
  </si>
  <si>
    <t>Fearonce G. LaLande, Esq.</t>
  </si>
  <si>
    <t>707908/2021</t>
  </si>
  <si>
    <t>WELLS FARGO BANK, N.A. vs. LICORISH, KHERI A. ANO</t>
  </si>
  <si>
    <t>WELLS FARGO BANK, Ν.Α.</t>
  </si>
  <si>
    <t>KHERI A. LICORISH</t>
  </si>
  <si>
    <t>218-51 110th Avenue, Queens Village, NY 11429</t>
  </si>
  <si>
    <t>218-51 110th Avenue</t>
  </si>
  <si>
    <t>Block 11197 Lot 124</t>
  </si>
  <si>
    <t>500 Bausch &amp; Lomb Place, Rochester, NY 14604</t>
  </si>
  <si>
    <t>Steven P. Goldenberg, Esq.</t>
  </si>
  <si>
    <t>721883/2021</t>
  </si>
  <si>
    <t>DEUTSCHE BANK NATIONAL vs. HAILEY, ARDELL ETAL</t>
  </si>
  <si>
    <t>DEUTSCHE BANK NATIONAL TRUST COMPANY</t>
  </si>
  <si>
    <t>ARDELL HAILEY</t>
  </si>
  <si>
    <t>12711 116TH AVENUE, SOUTH OZONE PARK, NY 11420</t>
  </si>
  <si>
    <t>12711 116TH AVENUE</t>
  </si>
  <si>
    <t>SOUTH OZONE PARK</t>
  </si>
  <si>
    <t>11671-34</t>
  </si>
  <si>
    <t>707436/2014</t>
  </si>
  <si>
    <t>DEUTSCHE BANK NATIONAL TRUST vs. WINSLOW, REGINALD</t>
  </si>
  <si>
    <t>REGINALD WINSLOW</t>
  </si>
  <si>
    <t>192-05 105TH AVENUE, HOLLIS, NY 11412</t>
  </si>
  <si>
    <t>192-05 105TH AVENUE</t>
  </si>
  <si>
    <t>10883-9</t>
  </si>
  <si>
    <t>703588/2015</t>
  </si>
  <si>
    <t>HSBC BANK USA, N.A., AS vs. Edery, Sabrina as Administratrix of the Estate of A ANN LEWITINN, ETAL</t>
  </si>
  <si>
    <t>HSBC Bank USA, N.A.</t>
  </si>
  <si>
    <t>Sabrina Edery</t>
  </si>
  <si>
    <t>Sabrina Edery, as Administratrix</t>
  </si>
  <si>
    <t>431 Beach 45th Street, Far Rockaway, NY 11691</t>
  </si>
  <si>
    <t>431 Beach 45th Street</t>
  </si>
  <si>
    <t>Block 15968 Lot 96</t>
  </si>
  <si>
    <t>719244/2023</t>
  </si>
  <si>
    <t>AYLIE ARIES CORP. vs. CHEN, HUI et al</t>
  </si>
  <si>
    <t>AYLIE ARIES CORP.</t>
  </si>
  <si>
    <t>38-11 108th Street, Unit 3H, Corona, NY 11368</t>
  </si>
  <si>
    <t>38-11 108th Street, Unit 3H</t>
  </si>
  <si>
    <t>Corona</t>
  </si>
  <si>
    <t>Block 1779 and Lot 1033</t>
  </si>
  <si>
    <t>Jerome D. Patterson, Esq.</t>
  </si>
  <si>
    <t>706918/2021</t>
  </si>
  <si>
    <t>U.S. BANK NATION ASSOCIATION vs. LETICIA GOMEZ AKA LETICIA GOMEZ-SCOTT</t>
  </si>
  <si>
    <t>U.S. BANK NATIONAL ASSOCIATION</t>
  </si>
  <si>
    <t>LETICIA GOMEZ A/K/A LETICIA GOMEZ-SCOTT</t>
  </si>
  <si>
    <t>128-17 115th Avenue, South Ozone Park, NY 11420</t>
  </si>
  <si>
    <t>128-17 115th Avenue</t>
  </si>
  <si>
    <t>South Ozone Park</t>
  </si>
  <si>
    <t>Block 11655 and Lot 34</t>
  </si>
  <si>
    <t>Knuckles, Komosinski &amp; Manfro, LLP</t>
  </si>
  <si>
    <t>565 Taxter Road, Suite 590, Elmsford, NY 10523</t>
  </si>
  <si>
    <t>Michael Mongelli II, Esq.</t>
  </si>
  <si>
    <t>705955/2018</t>
  </si>
  <si>
    <t>HSBC BANK USA, N.A., AS vs. OCHOA, JOSE R. ETAL</t>
  </si>
  <si>
    <t>HSBC BANK USA, N.A.</t>
  </si>
  <si>
    <t>JOSE R. OCHOA MARTHA OCHOA</t>
  </si>
  <si>
    <t>JOSE R. OCHOA</t>
  </si>
  <si>
    <t>MARTHA OCHOA</t>
  </si>
  <si>
    <t>1829 Cornelia S, Ridgewood, New York 11385</t>
  </si>
  <si>
    <t>1829 Cornelia S</t>
  </si>
  <si>
    <t>Ridgewood</t>
  </si>
  <si>
    <t>New York</t>
  </si>
  <si>
    <t>Block 3463 Lot 34</t>
  </si>
  <si>
    <t>SAHAR HAMLANI, ESQ.</t>
  </si>
  <si>
    <t>MCCABE WEISBERG &amp; CONWAY, LLC</t>
  </si>
  <si>
    <t>145 Huguenot Street, Suite 210, New Rochelle, NY 10801</t>
  </si>
  <si>
    <t>914.636.8900</t>
  </si>
  <si>
    <t>705541/2024</t>
  </si>
  <si>
    <t>NEW YORK BUSINESS DEVELOPMENT CORPORATION vs. GRAYCE PROPERTY MANAGEMENT LLC et al</t>
  </si>
  <si>
    <t>NEW YORK BUSINESS DEVELOPMENT</t>
  </si>
  <si>
    <t>GRAYCE PROPERTY MANAGEMENT LLC</t>
  </si>
  <si>
    <t>107-01 Rockaway Boulevard, Ozone Park, NY</t>
  </si>
  <si>
    <t>107-01 Rockaway Boulevard</t>
  </si>
  <si>
    <t>Ozone Park</t>
  </si>
  <si>
    <t>Block 11474, Lot 10</t>
  </si>
  <si>
    <t>CERTILMAN BALIN ADLER &amp; HYMAN, LLP</t>
  </si>
  <si>
    <t>100 Motor Parkway, Ste, 560, Hauppauge, NY</t>
  </si>
  <si>
    <t>SCOTT H. SILLER, Esq.</t>
  </si>
  <si>
    <t>719807/2021</t>
  </si>
  <si>
    <t>U.S. BANK, N.A vs. WILLIAMS, TEGINA ETAL</t>
  </si>
  <si>
    <t>U.S. BANK N.A. SUCCESSOR TO BANK OF AMERICA</t>
  </si>
  <si>
    <t>TEGINA WILLIAMS</t>
  </si>
  <si>
    <t>116-12 169TH STREET, JAMAICA, NY 11434</t>
  </si>
  <si>
    <t>88-11 SUTPHIN BOULEVARD</t>
  </si>
  <si>
    <t>JAMAICA</t>
  </si>
  <si>
    <t>12350-112</t>
  </si>
  <si>
    <t>Joseph Harris Nivin, Esq.</t>
  </si>
  <si>
    <t>705415/2024</t>
  </si>
  <si>
    <t>NYCTL 1998-2 TRUST vs. SHANK REALTY CORP. ETAL</t>
  </si>
  <si>
    <t>NYCTL 1998-2 TRUST</t>
  </si>
  <si>
    <t>SHANK REALTY CORP., NEW YORK CITY DEPARTMENT OF FINANCE, and WETHERILL REALTY, INC.</t>
  </si>
  <si>
    <t>SHANK REALTY CORP.</t>
  </si>
  <si>
    <t>60TH LANE, MASPETH, NY 11378</t>
  </si>
  <si>
    <t>60th Lane</t>
  </si>
  <si>
    <t>Maspeth</t>
  </si>
  <si>
    <t>Block 2747 Lot 12</t>
  </si>
  <si>
    <t>Jerry A. Montag Esq.</t>
  </si>
  <si>
    <t>Seyfarth Shaw LLP</t>
  </si>
  <si>
    <t>620 Eighth Avenue, New York, New York 10018</t>
  </si>
  <si>
    <t>(212) 218-5500</t>
  </si>
  <si>
    <t>PATRICIA A. POWIS, ESQ.</t>
  </si>
  <si>
    <t>705112/2015</t>
  </si>
  <si>
    <t>BANK OF AMERICA NA SUCCESSOR vs. OUTLAW, CLIFTON R ETAL</t>
  </si>
  <si>
    <t>BANK OF AMERICA, N.A., SUCCESSOR BY MERGER TO BAC HOME LOANS SERVICING, LP FKA COUNTRYWIDE HOME LOANS SERVICING, LP</t>
  </si>
  <si>
    <t>CLIFTON R. OUTLAW AKA CLIFTON OUTLAW JR. AKA CLIFTON OUTLAW</t>
  </si>
  <si>
    <t>CLIFTON R. OUTLAW</t>
  </si>
  <si>
    <t>9021 207th Street, Queens Village, NY 11428</t>
  </si>
  <si>
    <t>9021 207th Street</t>
  </si>
  <si>
    <t>Block 10557 Lot 28</t>
  </si>
  <si>
    <t>718290/2019</t>
  </si>
  <si>
    <t>PENNYMAC LOAN SERVICES, LLC vs. MOSES, AMROTIE ETAL</t>
  </si>
  <si>
    <t>PennyMac Loan Services. LLC</t>
  </si>
  <si>
    <t>Amrotie Moses, Pearlie S. Mohammed, Razack R. Mohammed a/k/a Razack Mohammed, Yasoda Bissessar</t>
  </si>
  <si>
    <t>Amrotie Moses</t>
  </si>
  <si>
    <t>Pearlie S. Mohammed</t>
  </si>
  <si>
    <t>11619 125th Street, South Ozone Park, NY 11420</t>
  </si>
  <si>
    <t>11619 125th Street</t>
  </si>
  <si>
    <t>Block: 11682, Lot: 45</t>
  </si>
  <si>
    <t>Frenkel Lambert Weisman &amp; Gordon, LLP</t>
  </si>
  <si>
    <t>53 Gibson Street, Bay Shore, NY 11706</t>
  </si>
  <si>
    <t>Nicole D. Katsorhis, Esq.</t>
  </si>
  <si>
    <t>711411/2016</t>
  </si>
  <si>
    <t>HSBC BANK USA, NATIONAL vs. HASSAN, MOHAMMED H. ETAL</t>
  </si>
  <si>
    <t>MOHAMMED H. HASSAN</t>
  </si>
  <si>
    <t>YAIR KERSTEIN</t>
  </si>
  <si>
    <t>133-01 116th Street, South Ozone Park, New York 11420</t>
  </si>
  <si>
    <t>133-01 116th Street</t>
  </si>
  <si>
    <t>Block 11737 Lot 38</t>
  </si>
  <si>
    <t>MCCABE, WEISBERG &amp; CONWAY, LLC</t>
  </si>
  <si>
    <t>10 Midland Avenue, Suite 205, Port Chester, NY 10573</t>
  </si>
  <si>
    <t>Michael F. Mongelli, Esq.</t>
  </si>
  <si>
    <t>702594/2019</t>
  </si>
  <si>
    <t>NATIONSTAR MORTGAGE LLC vs. SMITH, GRACE ETAL</t>
  </si>
  <si>
    <t>NATIONSTAR MORTGAGE LLC D/B/A CHAMPION MORTGAGE COMPANY</t>
  </si>
  <si>
    <t>GRACE SMITH A/K/A GRACE WILCOX</t>
  </si>
  <si>
    <t>114-19 149TH STREET, JAMAICA a/k/a SOUTH OZONE PARK, NY 11436</t>
  </si>
  <si>
    <t>114-19 149TH STREET</t>
  </si>
  <si>
    <t>Block 11980 Lot 55</t>
  </si>
  <si>
    <t>Pincus Law Group, PLLC</t>
  </si>
  <si>
    <t>425 RXR Plaza, Uniondale, NY 11556</t>
  </si>
  <si>
    <t>JOSEPH N. MISK, ESQ.</t>
  </si>
  <si>
    <t>704626/2021</t>
  </si>
  <si>
    <t>FEDERAL NATIONAL MORTGAGE ASSOCIATION vs. JPMORGAN CHASE BANK NA; ETAL</t>
  </si>
  <si>
    <t>FEDERAL NATIONAL MORTGAGE ASSOCIATION</t>
  </si>
  <si>
    <t>JPMORGAN CHASE BANK, NA</t>
  </si>
  <si>
    <t>11117 133RD STREET, SOUTH OZONE PARK, NY 11420</t>
  </si>
  <si>
    <t>11117 133RD STREET</t>
  </si>
  <si>
    <t>11637-56</t>
  </si>
  <si>
    <t>Gregory J. Newman, Esq.</t>
  </si>
  <si>
    <t>713015/2019</t>
  </si>
  <si>
    <t>FLAGSTAR BANK, FSB vs. DAVIS, TREVOR ETAL</t>
  </si>
  <si>
    <t>FLAGSTAR BANK, FSB</t>
  </si>
  <si>
    <t>TREVOR DAVIS; ASHLEY DURETT</t>
  </si>
  <si>
    <t>TREVOR DAVIS</t>
  </si>
  <si>
    <t>ASHLEY DURETT</t>
  </si>
  <si>
    <t>114-29 158th Street, Jamaica, NY 11434</t>
  </si>
  <si>
    <t>114-29 158th Street</t>
  </si>
  <si>
    <t>Block: 12195 Lot: 57</t>
  </si>
  <si>
    <t>Fein, Such &amp; Crane, LLP</t>
  </si>
  <si>
    <t>28 East Main Street, Rochester, NY 14614</t>
  </si>
  <si>
    <t>Stephanie Goldstone, Esq.</t>
  </si>
  <si>
    <t>724982/2021</t>
  </si>
  <si>
    <t>JPMORGAN CHASE BANK NATIONAL vs. BROGLIN, ANN ETAL</t>
  </si>
  <si>
    <t>JP MORGAN CHASE BANK, NATIONAL ASSOCIATION</t>
  </si>
  <si>
    <t>ANN BROGLIN A/K/A ANN M. HYLTON</t>
  </si>
  <si>
    <t>113-25 197th Street a/k/a 11325 197th Street, Saint Albans, New York 11412</t>
  </si>
  <si>
    <t>113-25 197th Street a/k/a 11325</t>
  </si>
  <si>
    <t>Saint Albans</t>
  </si>
  <si>
    <t>Block 10992 Lot: 42</t>
  </si>
  <si>
    <t>MELISSA A. SPOSATO, ESQ.</t>
  </si>
  <si>
    <t>One Huntington Quadrangle, Suite 4N25, Melville, NY 11747</t>
  </si>
  <si>
    <t>(631) 812-4084</t>
  </si>
  <si>
    <t>712220/2022</t>
  </si>
  <si>
    <t>WELLS FARGO BANK, N.A. vs. DECAILLE, GIB</t>
  </si>
  <si>
    <t>WELLS FARGO BANK, NA.</t>
  </si>
  <si>
    <t>GIB DECAILLE</t>
  </si>
  <si>
    <t>10454 164th Street, Jamaica, NY 11433</t>
  </si>
  <si>
    <t>10454 164th Street</t>
  </si>
  <si>
    <t>Block 10161 Lot 31</t>
  </si>
  <si>
    <t>713319/2022</t>
  </si>
  <si>
    <t>THE BANK OF NEW YORK MELLON vs. BARIL, MICHAEL et al</t>
  </si>
  <si>
    <t>THE BANK OF NEW YORK MELLON F/K/A THE BANK OF NEW YORK AS SUCCESSOR INDENTURE TRUSTEE TO JPMORGAN CHASE BANK, NATIONAL ASSOCIATION FOR CWHEQ REVOLVING HOME EQUITY LOAN TRUST, SERIES 2005-J</t>
  </si>
  <si>
    <t>MICHAEL BARIL</t>
  </si>
  <si>
    <t>115-111 230TH STREET, CAMBRIA HEIGHTS, NY 11411</t>
  </si>
  <si>
    <t>115-111 230TH STREET</t>
  </si>
  <si>
    <t>CAMBRIA HEIGHTS</t>
  </si>
  <si>
    <t>11312-45</t>
  </si>
  <si>
    <t>701115/2020</t>
  </si>
  <si>
    <t>Citizens Bank, N.A. vs. Latchana, Geeta et al</t>
  </si>
  <si>
    <t>CITIZENS BANK, N.A.</t>
  </si>
  <si>
    <t>GEETA LATCHANA; HSBC BANK USA, as Trustee; and NEW YORK CITY ENVIRONMENTAL CONTROL BOARD</t>
  </si>
  <si>
    <t>GEETA LATCHANA</t>
  </si>
  <si>
    <t>81-33 Liberty Avenue, City of New York, New York 11417</t>
  </si>
  <si>
    <t>81-33 Liberty Avenue</t>
  </si>
  <si>
    <t>Block: 9083, Lot: 48</t>
  </si>
  <si>
    <t>COOPER ERVING &amp; SAVAGE, LLP</t>
  </si>
  <si>
    <t>20 Corporate Woods Blvd., Ste. 501, Albany, New York 12211</t>
  </si>
  <si>
    <t>(518) 449-3900</t>
  </si>
  <si>
    <t>William T. Driscoll, Esq.</t>
  </si>
  <si>
    <t>701332/2015</t>
  </si>
  <si>
    <t>BANK OF NEW YORK MELLON vs. NASSAU COUNTY PUBLIC ADMINISTRATOR AS LIMITED ADMINISTRATOR OF THE ESTATE OF SALONGA, LUCILA ETAL</t>
  </si>
  <si>
    <t>The Bank of New York Mellon FKA The Bank of New York, as Trustee for the certificateholders of the CWABS, Inc., Asset-Backed Certificates, Series 2006-15</t>
  </si>
  <si>
    <t>Nassau County Public Administrator, as Limited Administrator of the Estate of Lucila Salonga</t>
  </si>
  <si>
    <t>8730 62nd Avenue Apartment 3G, Rego Park, NY 11374</t>
  </si>
  <si>
    <t>8730 62nd Avenue Apartment 3G</t>
  </si>
  <si>
    <t>Rego Park</t>
  </si>
  <si>
    <t>Block 3102 Lot 1069</t>
  </si>
  <si>
    <t>Neda Melamed, Esq.</t>
  </si>
  <si>
    <t>712144/2023</t>
  </si>
  <si>
    <t>1900 CAPITAL TRUST II, BY US BANK TRUST NATIONAL vs. REID, WILLA et al</t>
  </si>
  <si>
    <t>1900 CAPITAL TRUST II</t>
  </si>
  <si>
    <t>WILLA REID</t>
  </si>
  <si>
    <t>108-46 171st Place, Jamaica, NY 11433</t>
  </si>
  <si>
    <t>108-46 171st Place</t>
  </si>
  <si>
    <t>Block 10254, Lot 28</t>
  </si>
  <si>
    <t>HILL WALLACK, LLP</t>
  </si>
  <si>
    <t>261 Madison Ave., New York, NY 10016</t>
  </si>
  <si>
    <t>ARTHUR TERRANOVA, Esq.</t>
  </si>
  <si>
    <t>701135/2022</t>
  </si>
  <si>
    <t>DEUTSCHE BANK NATIONAL vs. CORONA, GABRIEL ETAL</t>
  </si>
  <si>
    <t>DEUTSCHE BANK NATIONAL TRUST COMPANY, AS TRUSTEE FOR MORGAN STANLEY CAPITAL I                 INC. TRUST 2006-HE2, MORTGAGE PASS-THROUGH CERTIFICATES, SERIES 2006-HE2</t>
  </si>
  <si>
    <t>GABRIEL CORONA</t>
  </si>
  <si>
    <t>97-48 Corona Avenue, Corona, NY 11368</t>
  </si>
  <si>
    <t>97-48 Corona Avenue</t>
  </si>
  <si>
    <t>(Block: 1879, Lot: 15)</t>
  </si>
  <si>
    <t>McCalla Raymer Leibert Pierce, LLC</t>
  </si>
  <si>
    <t>420 Lexington Avenue, Suite 840, New York, NY 10170</t>
  </si>
  <si>
    <t>347.286.7409</t>
  </si>
  <si>
    <t>Michael F. Mongelli II, Esq.</t>
  </si>
  <si>
    <t>712114/2018</t>
  </si>
  <si>
    <t>RESIDENTIAL MORTGAGE LOAN vs. RAZACK, BINA ETAL</t>
  </si>
  <si>
    <t>RESIDENTIAL MORTGAGE LOAN TRUST 2013-TT2</t>
  </si>
  <si>
    <t>BINA RAZACK</t>
  </si>
  <si>
    <t>80-60 87th Road, Woodhaven, NY 11421</t>
  </si>
  <si>
    <t>80-60 87th Road</t>
  </si>
  <si>
    <t>Block 8917 and Lot 20</t>
  </si>
  <si>
    <t>Friedman Vartolo LLP</t>
  </si>
  <si>
    <t>85 Broad Street, New York, New York 10004</t>
  </si>
  <si>
    <t>Richard Gutierrez, Esq.</t>
  </si>
  <si>
    <t>713788/2016</t>
  </si>
  <si>
    <t>21ST MORTGAGE CORPORATION AS vs. RANOT, RAJESH K. ETAL</t>
  </si>
  <si>
    <t>21st Mortgage Corporation as Master Servicer for Christiana Trust, a division of Wilmington Savings Fund Society, FSB as Trustee for Knoxville 2012 Trust</t>
  </si>
  <si>
    <t>Rajesh K. Ranot a/k/a Rajesh Ranot</t>
  </si>
  <si>
    <t>103-19 96th Street, Ozone Park, NY 11417</t>
  </si>
  <si>
    <t>103-19 96th Street</t>
  </si>
  <si>
    <t>Block: 9119 Lot: 60</t>
  </si>
  <si>
    <t>Gary C. DiLeonardo, Esq.</t>
  </si>
  <si>
    <t>712067/2022</t>
  </si>
  <si>
    <t>NYCTL 1998-2TRUST vs. DOCUMENTS BY VISH INC. et al</t>
  </si>
  <si>
    <t>NYCTL 1998-2 TRUST AND THE BANK OF NEW YORK MELLON, AS COLLATERAL AGENT AND CUSTODIAN</t>
  </si>
  <si>
    <t>DOCUMENTS BY VISH INC.</t>
  </si>
  <si>
    <t>103-30 126TH STREET, JAMAICA, NY 11419</t>
  </si>
  <si>
    <t>103-30 126TH STREET</t>
  </si>
  <si>
    <t>Block 9562 and Lot 20</t>
  </si>
  <si>
    <t>Phillips Lytle LLP</t>
  </si>
  <si>
    <t>100 S. Clinton Avenue, Suite 2900, Rochester, NY 14604</t>
  </si>
  <si>
    <t>JANET L. BROWN, ESQ.</t>
  </si>
  <si>
    <t>713922/2020</t>
  </si>
  <si>
    <t>U.S. BANK TRUST NATIONAL ASSOCIATION, vs. DULLIESINGH, INDIRA et al</t>
  </si>
  <si>
    <t>U.S. BANK TRUST NATIONAL ASSOCIATION NOT IN ITS INDIVIUDAL CAPACITY</t>
  </si>
  <si>
    <t>INDIRA DULLIESINGH</t>
  </si>
  <si>
    <t>103-14 117th Street, Richmond Hill, NY 11419</t>
  </si>
  <si>
    <t>103-14 117th Street</t>
  </si>
  <si>
    <t>Richmond Hill</t>
  </si>
  <si>
    <t>Block: 9554 Lot: 12</t>
  </si>
  <si>
    <t>716381/2017</t>
  </si>
  <si>
    <t>JPMORGAN CHASE BANK, vs. GINSBERG, MORRIS ETAL</t>
  </si>
  <si>
    <t>Morris Ginsberg</t>
  </si>
  <si>
    <t>162-49 13th Avenue, Whitestone, NY 11357</t>
  </si>
  <si>
    <t>162-49 13th Avenue</t>
  </si>
  <si>
    <t>Whitestone</t>
  </si>
  <si>
    <t>Block 4593 Lot 19</t>
  </si>
  <si>
    <t>Matthew Lupoli, Esq.</t>
  </si>
  <si>
    <t>713499/2019</t>
  </si>
  <si>
    <t>NYCTL 1998-2 TRUST AND THE vs. BGN REAL ESTATE LLC ET AL</t>
  </si>
  <si>
    <t>BGN REAL ESTATE LLC, CITY OF NEW YORK</t>
  </si>
  <si>
    <t>BGN REAL ESTATE LLC</t>
  </si>
  <si>
    <t>143-12 Liberty Avenue, Jamaica, New York 11435</t>
  </si>
  <si>
    <t>143-12 Liberty Avenue</t>
  </si>
  <si>
    <t>Block 10041 Lot 4</t>
  </si>
  <si>
    <t>Thomas P. Malone, Esq.</t>
  </si>
  <si>
    <t>THE LAW OFFICE OF THOMAS P. MALONE, PLLC</t>
  </si>
  <si>
    <t>60 East 42nd Street, Suite 553, New York, New York 10165</t>
  </si>
  <si>
    <t>212.867.0500</t>
  </si>
  <si>
    <t>706856/2016</t>
  </si>
  <si>
    <t>US BANK TRUST NATIONAL ASSOCAITION vs. VANESSA G. SPENCE AS HEIR AT LAW</t>
  </si>
  <si>
    <t>US BANK TRUST NATIONAL ASSOCIATION, NOT IN ITS INDIVIDUAL CAPACITY BUT SOLELY AS OWNER TRUSTEE FOR VRMTG ASSET TRUST</t>
  </si>
  <si>
    <t>VANESSA G. SPENCE AS HEIR AT LAW AND NEXT OF KIN OF LILLIAN SPENCE</t>
  </si>
  <si>
    <t>633 Beach 65th Street, Arverne, NY 11692</t>
  </si>
  <si>
    <t>633 Beach 65th Street</t>
  </si>
  <si>
    <t>Arverne</t>
  </si>
  <si>
    <t>Block 16026 and Lot 35</t>
  </si>
  <si>
    <t>Knuckles &amp; Manfro, LLP</t>
  </si>
  <si>
    <t>120 White Plains Road, Suite 215, Tarrytown, New York 10591</t>
  </si>
  <si>
    <t>713801/2021</t>
  </si>
  <si>
    <t>BANK OF NEW YORK MELLON vs. YANG, LOTTIE ETAL.</t>
  </si>
  <si>
    <t>THE BANK OF NEW YORK MELLON FKA THE BANK OF NEW YORK, AS TRUSTEE FOR CWABS, INC., ASSET-BACKED CERTIFICATES, SERIES 2007-13</t>
  </si>
  <si>
    <t>LOTTIE YANG</t>
  </si>
  <si>
    <t>13713 56th Ave, Flushing, NY 11355</t>
  </si>
  <si>
    <t>13713 56th Ave</t>
  </si>
  <si>
    <t>Block: 5130, Lot: 4</t>
  </si>
  <si>
    <t>Jjais A. Forde, Esq.</t>
  </si>
  <si>
    <t>703396/2016</t>
  </si>
  <si>
    <t>HSBC BANK USA, NATIONAL vs. SINGH, DINDYAL ETAL</t>
  </si>
  <si>
    <t>HSBC BANK USA, NATIONAL ASSOCIATION AS TRUSTEE FOR THE ELLINGTON</t>
  </si>
  <si>
    <t>DINDYAL SINGH</t>
  </si>
  <si>
    <t>107-38 132nd Street, 107-34 132nd Street, Richmond Hill, NY 11419</t>
  </si>
  <si>
    <t>107-38 132nd Street, 107-34 132nd Street</t>
  </si>
  <si>
    <t>Block 9611, Lot 25</t>
  </si>
  <si>
    <t>Arthur N. Terranova, Esq.</t>
  </si>
  <si>
    <t>703373/2023</t>
  </si>
  <si>
    <t>CARRINGTON MORTGAGE SERVICES, LLC vs. LALITSASIVIMOL, LOUIS et al</t>
  </si>
  <si>
    <t>CARRINGTON MORTGAGE SERVICES, LLC</t>
  </si>
  <si>
    <t>LOUIS LALITSASIVIMOL</t>
  </si>
  <si>
    <t>71-40 MANSE STREET, FOREST HILLS, NY 11375</t>
  </si>
  <si>
    <t>71-40 MANSE STREE</t>
  </si>
  <si>
    <t>FOREST HILLS</t>
  </si>
  <si>
    <t>3241-24</t>
  </si>
  <si>
    <t>Martha Taylor, Esq.</t>
  </si>
  <si>
    <t>714233/2017</t>
  </si>
  <si>
    <t>U.S. BANK NATIONAL vs. PIKA, OSCAR ETAL</t>
  </si>
  <si>
    <t>OSCAR PIKA, MORTGAGEIT, INC.</t>
  </si>
  <si>
    <t>OSCAR PIKA</t>
  </si>
  <si>
    <t>93-05 215TH PLACE QUEENS VILLAGE, NY 11428</t>
  </si>
  <si>
    <t>93-05 215TH PLACE</t>
  </si>
  <si>
    <t>QUEENS VILLAGE</t>
  </si>
  <si>
    <t>BLOCK 10619, LOT 27</t>
  </si>
  <si>
    <t>Jessica Kielb Grubea, Esq.</t>
  </si>
  <si>
    <t>1775 Wehrle Drive, Suite 100, Williamsville, NY 14221</t>
  </si>
  <si>
    <t>716.204.1700</t>
  </si>
  <si>
    <t>707569/2018</t>
  </si>
  <si>
    <t>TD BANK, N.A. vs. WILLIAMS, TEDDY A. ETAL</t>
  </si>
  <si>
    <t>TD BANK</t>
  </si>
  <si>
    <t>TEDDY A. WILLIAMS</t>
  </si>
  <si>
    <t>138-36 227th Street, Queens, NY 11413</t>
  </si>
  <si>
    <t>138-36 227th Street</t>
  </si>
  <si>
    <t>Block 13140 and Lot 55</t>
  </si>
  <si>
    <t>Duane Morris, LLP</t>
  </si>
  <si>
    <t>1540 Broadway, New York, New York 10036</t>
  </si>
  <si>
    <t>Frank Bruno, Esq.</t>
  </si>
  <si>
    <t>708349/2017</t>
  </si>
  <si>
    <t>GOSHEN MORTGAGE LLC AS vs. STUART, JOHN ETAL</t>
  </si>
  <si>
    <t>GOSHEN MORTGAGE LLC, AS SEPARATE TRUSTEE FOR GDBT I TRUST 2011-1</t>
  </si>
  <si>
    <t>JOHN STUART; JOAN STUART</t>
  </si>
  <si>
    <t>JOHN STUART</t>
  </si>
  <si>
    <t>JOAN STUART</t>
  </si>
  <si>
    <t>120-23 233RD STREET, CAMBRIA HEIGHTS, NY 11411</t>
  </si>
  <si>
    <t>120-23 233RD STREET</t>
  </si>
  <si>
    <t>BLOCK 12818 LOT 16</t>
  </si>
  <si>
    <t>Anelle Calivco</t>
  </si>
  <si>
    <t>Kosterich &amp; Skeete, LLC</t>
  </si>
  <si>
    <t>707 Westchester Ave, Suite 302, White Plains, NY 10604</t>
  </si>
  <si>
    <t>914.395.0055</t>
  </si>
  <si>
    <t>703116/2019</t>
  </si>
  <si>
    <t>BANK OF NEW YORK MELLON vs. MCKOY, EARLENE ETAL</t>
  </si>
  <si>
    <t>BANK OF NEW YORK MELLON TRUST COMPANY, N.A. AS TRUSTEE FOR MORTGAGE ASSETS                  MANAGEMENT SERIES I TRUST</t>
  </si>
  <si>
    <t>DORSEY ANDREWS AS HEIR AND DISTRIBUTEE</t>
  </si>
  <si>
    <t>DORSEY ANDREWS AS HEIR</t>
  </si>
  <si>
    <t>THE ESTATE OF EARLENE MCKOY</t>
  </si>
  <si>
    <t>231-29 125TH AVENUE, LAURELTON, NY 11413</t>
  </si>
  <si>
    <t>231-29 125TH AVENUE</t>
  </si>
  <si>
    <t>12857-25</t>
  </si>
  <si>
    <t>708749/2018</t>
  </si>
  <si>
    <t>US BANK TRUST, N.A. vs. OWENS, CYNTHIA ETAL</t>
  </si>
  <si>
    <t>U.S. Bank Trust, N.A.</t>
  </si>
  <si>
    <t>Cynthia Owens a/k/a Cynthia L. Owens; et al</t>
  </si>
  <si>
    <t>Cynthia Owens</t>
  </si>
  <si>
    <t>27-33 Curtis Street, East Elmhurst, NY 11369</t>
  </si>
  <si>
    <t>27-33 Curtis Street</t>
  </si>
  <si>
    <t>East Elmhurst</t>
  </si>
  <si>
    <t>Block 1664 Lot 57</t>
  </si>
  <si>
    <t>Dennis S. Cappello, Esq.</t>
  </si>
  <si>
    <t>713468/2015</t>
  </si>
  <si>
    <t>LINKER NOTES, LLC vs. VARGAS, CLAUDIA J ETAL</t>
  </si>
  <si>
    <t>DBI/ASG MORTGAGE HOLDINGS, LLC</t>
  </si>
  <si>
    <t>CLAUDIA J. VARGAS</t>
  </si>
  <si>
    <t>16-63 HANCOCK STREET, FLUSHING, NY 11385</t>
  </si>
  <si>
    <t>16-63 HANCOCK STREET</t>
  </si>
  <si>
    <t>FLUSHING</t>
  </si>
  <si>
    <t>Catalina T. Soriano</t>
  </si>
  <si>
    <t>PETER T. ROACH AND ASSOCIATES, P.C.</t>
  </si>
  <si>
    <t>125 Michael Drive, Suite 105, Syosset, New York 11791</t>
  </si>
  <si>
    <t>516.938.3100</t>
  </si>
  <si>
    <t>718080/2021</t>
  </si>
  <si>
    <t>DEUTSCHE BANK NATIONAL TRUST vs. PATEL, BHARGAVI ETAL</t>
  </si>
  <si>
    <t>BHARGAVI PATEL</t>
  </si>
  <si>
    <t>63-12 110th Street, Forest Hills, New York 11375</t>
  </si>
  <si>
    <t>63-12 110th Street</t>
  </si>
  <si>
    <t>Forest Hills</t>
  </si>
  <si>
    <t>Block 2167 Lot: 28</t>
  </si>
  <si>
    <t>Melissa A. Sposato, ESQ.</t>
  </si>
  <si>
    <t>MCCABE, WEISBERG &amp; CONWAY, P.C.</t>
  </si>
  <si>
    <t>1 Huntington Quadrangle, Suite 4N25 Melville, NY 11747</t>
  </si>
  <si>
    <t>631.812.4084</t>
  </si>
  <si>
    <t>701288/2019</t>
  </si>
  <si>
    <t>SELENE FINANCE LP vs. HENRY, DIAN ETAL</t>
  </si>
  <si>
    <t>SELENE FINANCE LP</t>
  </si>
  <si>
    <t>DIAN HENRY, MARLON HENRY NICHOLS</t>
  </si>
  <si>
    <t>DIAN HENRY</t>
  </si>
  <si>
    <t>MARLON HENRY NICHOLS</t>
  </si>
  <si>
    <t>110-34 166th Street, Jamaica, NY 11433</t>
  </si>
  <si>
    <t>110-34 166th Street</t>
  </si>
  <si>
    <t>Block 10193, Lot 22</t>
  </si>
  <si>
    <t>Irene Marie Mattone, Esq.</t>
  </si>
  <si>
    <t>702553/2016</t>
  </si>
  <si>
    <t>WILMINGTON SAVINGS FUND SOCIETY, FSB vs. BRADFORD, KENRICK ETAL</t>
  </si>
  <si>
    <t>WILMINGTON SAVINGS FUND SOCIETY, FSB AS OWNER TRUSTEE OF THE RESIDENTIAL CREDIT OPPORTUNITIES TRUST V-C</t>
  </si>
  <si>
    <t>KENRICK BRADFORD</t>
  </si>
  <si>
    <t>109-24 190th Place, Saint Albans, NY 11412</t>
  </si>
  <si>
    <t>109-24 190th Place</t>
  </si>
  <si>
    <t>Block 10925 and Lot 23</t>
  </si>
  <si>
    <t>85 Broad Street, Suite 501, New York, New York 10004</t>
  </si>
  <si>
    <t>701938/2012</t>
  </si>
  <si>
    <t>WELLS FARGO BANK, N.A. vs. PARKS, DESIREE ETAL</t>
  </si>
  <si>
    <t>DESIREE PARKS</t>
  </si>
  <si>
    <t>169-19 104th Ave, Jamaica, NY 11433</t>
  </si>
  <si>
    <t>169-19 104th Ave</t>
  </si>
  <si>
    <t>Block 10223 Lot 29</t>
  </si>
  <si>
    <t>Lisa Jadidian, Esq.</t>
  </si>
  <si>
    <t>724554/2022</t>
  </si>
  <si>
    <t>U.S. BANK NATIONAL ASSOCIATION vs. CHANG, JORGE et al</t>
  </si>
  <si>
    <t>U.S. BANK NATIONAL ASSOCIATION, NOTIN ITS INDIVIDUAL CAPACITY BUTSOLELY AS TRUSTEE FOR THE RMAC TRUST, SERIES 2016-CTT</t>
  </si>
  <si>
    <t>JORGE CHANG, RUTH CHANG, NEW CENTURY FINANCIAL SERVICES, INC.,MIDLAND FUNDING LLC DBA IN NEW YORK AS MIDLAND FUNDING OFDELAWARE LLC, CITIBANK (SOUTHDAKOTA), NA, UNIFUND CCR LLC</t>
  </si>
  <si>
    <t>JORGE CHANG</t>
  </si>
  <si>
    <t>RUTH CHANG</t>
  </si>
  <si>
    <t>101-16 159th Avenue, Howard Beach, NY 11414</t>
  </si>
  <si>
    <t>101-16 159th Avenue</t>
  </si>
  <si>
    <t>Howard Beach</t>
  </si>
  <si>
    <t>Block 14181 and Lot 7</t>
  </si>
  <si>
    <t>Ashley M Pascuzzi, Esq.</t>
  </si>
  <si>
    <t>709074/2021</t>
  </si>
  <si>
    <t>WILMINGTON SAVINGS FUND SOCIETY FSB vs. ADINA DAVIS, ETAL</t>
  </si>
  <si>
    <t>Wilmington Savings Fund Society, FSB, dba Christiana Trust</t>
  </si>
  <si>
    <t>Odell Davis</t>
  </si>
  <si>
    <t>Roslyn Cleghorne</t>
  </si>
  <si>
    <t>195-10 Sagamore Ave, Hollis, NY 11423</t>
  </si>
  <si>
    <t>195-10 Sagamore Ave</t>
  </si>
  <si>
    <t>Hollis</t>
  </si>
  <si>
    <t>Block 10829, Lot 111</t>
  </si>
  <si>
    <t>Todd Falasco, Esq.</t>
  </si>
  <si>
    <t>Frenkel, Lambert, Weiss, Weisman &amp; Gordon, LLP</t>
  </si>
  <si>
    <t>709661/2015</t>
  </si>
  <si>
    <t>WELLS FARGO BANK, N.A. vs. SMULOWITZ, SHAINA</t>
  </si>
  <si>
    <t>Shaina Smulowitz; Steven Smulowitz</t>
  </si>
  <si>
    <t>Shaina Smulowitz</t>
  </si>
  <si>
    <t>Steven Smulowitz</t>
  </si>
  <si>
    <t>1118 Bay 24th Street, Far Rockaway, NY 11691-1752</t>
  </si>
  <si>
    <t>1118 Bay 24th Street</t>
  </si>
  <si>
    <t>11691-1752</t>
  </si>
  <si>
    <t>Block 15718 Lot 5</t>
  </si>
  <si>
    <t>Edward A. Vincent, Esq.</t>
  </si>
  <si>
    <t>704985/2019</t>
  </si>
  <si>
    <t>U.S. BANK TRUST, N.A. vs. EBANKS, ARTHUR A. ETAL</t>
  </si>
  <si>
    <t>ARTHUR A. EBANKS</t>
  </si>
  <si>
    <t>115-47 223rd Street, Jamaica, NY 11411</t>
  </si>
  <si>
    <t>115-47 223rd Street</t>
  </si>
  <si>
    <t>Block 11287, Lot 11</t>
  </si>
  <si>
    <t>Lisa S. Blaustein, Esq.</t>
  </si>
  <si>
    <t>716435/2020</t>
  </si>
  <si>
    <t>LONG CHENG, TAO vs. XAO MA, CHAU et al</t>
  </si>
  <si>
    <t>TAO LONG CHENG</t>
  </si>
  <si>
    <t>CHAU XAO MA, TAIVIEM MA, NEW YORK REAL ESTATE HOLDING</t>
  </si>
  <si>
    <t>CHAU XAO MA</t>
  </si>
  <si>
    <t>TAIVIEM MA</t>
  </si>
  <si>
    <t>226-59 76th Road, Bayside, NY 11364</t>
  </si>
  <si>
    <t>226-59 76 Road</t>
  </si>
  <si>
    <t>Bayside</t>
  </si>
  <si>
    <t>Block: 7834, Lot: 50</t>
  </si>
  <si>
    <t>Leslie Sultan, Esq.</t>
  </si>
  <si>
    <t>Leslie Sultan, P.C.</t>
  </si>
  <si>
    <t>1225 Franklin Avenue, Suite 325, Garden City, New York 11530</t>
  </si>
  <si>
    <t>917.423.0437</t>
  </si>
  <si>
    <t>704722/2016</t>
  </si>
  <si>
    <t>HSBC BANK USA NATIONAL vs. MOHAMMED, HAZRA ALI ETAL</t>
  </si>
  <si>
    <t>HSBC BANK USA</t>
  </si>
  <si>
    <t>HAZRA ALI MOHAMMED</t>
  </si>
  <si>
    <t>149-47 124TH STREET, SOUTH OZONE PARK, NY 11420</t>
  </si>
  <si>
    <t>149-47 124TH STREET</t>
  </si>
  <si>
    <t>11867-12</t>
  </si>
  <si>
    <t>Mark Weliky, Esq.</t>
  </si>
  <si>
    <t>705481/2015</t>
  </si>
  <si>
    <t>CAPITAL ONE, N.A. vs. BAILEY, ANNE MARIE</t>
  </si>
  <si>
    <t>CAPITAL ONE, N.A.</t>
  </si>
  <si>
    <t>ANNE MARIE BAILEY A/K/A ANN MARIE S. BAILEY</t>
  </si>
  <si>
    <t>ANNE MARIE BAILEY</t>
  </si>
  <si>
    <t>ANN MARIE S. BAILEY</t>
  </si>
  <si>
    <t>205-09 114 Drive, St Albans, NY 11412</t>
  </si>
  <si>
    <t>205-09 114 Drive</t>
  </si>
  <si>
    <t>St Albans</t>
  </si>
  <si>
    <t>Block 11023 Lot 14</t>
  </si>
  <si>
    <t>Rodney R. Austin, Esq.</t>
  </si>
  <si>
    <t>706821/2023</t>
  </si>
  <si>
    <t>U.S. BANK TRUST NATIONAL ASSOCIATION vs. WILLIAMS, CHERI et al</t>
  </si>
  <si>
    <t>U.S. BANK TRUST NATIONAL ASSOCIATION</t>
  </si>
  <si>
    <t>CHERI WILLIAMS</t>
  </si>
  <si>
    <t>122-48 Benton Street, Springfield Gardens, NY 11413</t>
  </si>
  <si>
    <t>122-48 Benton Street</t>
  </si>
  <si>
    <t>Block 12704 Lot 52</t>
  </si>
  <si>
    <t>120 White Plains Road, Suite 215, Tarrytown, NY 10591</t>
  </si>
  <si>
    <t>Nicole Katsorhis, Esq.</t>
  </si>
  <si>
    <t>710724/2021</t>
  </si>
  <si>
    <t>WELLS FARGO BANK, N.A. vs. ROJAS, LILIANA F. ETAL</t>
  </si>
  <si>
    <t>ANY UNKNOWN HEIRS, DEVISEES, DISTRIBUTEES OR SUCCESSORS IN INTEREST OF THE LATE LILIANA ROJAS A/K/A_LILIANA E. ROJAS A/K/A_LILIAN ESTIRLY ROJAS</t>
  </si>
  <si>
    <t>ANY UNKNOWN HEIRS OF THE LATE LILIANA ROJAS</t>
  </si>
  <si>
    <t>50-23 47th Street, Woodside, NY 11377</t>
  </si>
  <si>
    <t>50-23 47th Street</t>
  </si>
  <si>
    <t>Woodside</t>
  </si>
  <si>
    <t>Block: 2297 Lot: 25</t>
  </si>
  <si>
    <t>Autrey Johnson, Esq.</t>
  </si>
  <si>
    <t>705766/2013</t>
  </si>
  <si>
    <t>WELLS FARGO BANK N.A., AS vs. DEOLALL, JAVIER ETAL</t>
  </si>
  <si>
    <t>WELLS FARGO BANK N.A.</t>
  </si>
  <si>
    <t>JAVIER DEOLALL, SUMINTRA DEOLALL, HENRY KERR, CECIL CHESTER</t>
  </si>
  <si>
    <t>JAVIER DEOLALL</t>
  </si>
  <si>
    <t>SUMINTRA DEOLALL</t>
  </si>
  <si>
    <t>9010 Hollis Court Blvd, Queens Village, NY 11428</t>
  </si>
  <si>
    <t>9010 Hollis Court Blvd</t>
  </si>
  <si>
    <t>Section 0, Block 10569 and Lot 31.</t>
  </si>
  <si>
    <t>Aldridge Pite, LLP</t>
  </si>
  <si>
    <t>40 Marcus Drive, Suite 200, Melville, NY 11747</t>
  </si>
  <si>
    <t>709801/2023</t>
  </si>
  <si>
    <t>THE BANK OF NEW YORK MELLON FKA THE BANK OF NEW YORK, vs. VELASCO, RIGOBERTO et al</t>
  </si>
  <si>
    <t>THE BANK OF NEW YORK MELLON FKA THE BANK</t>
  </si>
  <si>
    <t>RIGOBERTO VELASCO</t>
  </si>
  <si>
    <t>30-51 82ND STREET, JACKSON HEIGHTS, NY 11372</t>
  </si>
  <si>
    <t>30-51 82ND STREET</t>
  </si>
  <si>
    <t>JACKSON HEIGHTS</t>
  </si>
  <si>
    <t>Block 1380, Lot 52</t>
  </si>
  <si>
    <t>January 16,2020</t>
  </si>
  <si>
    <t>Jennifer R. Brennan Esq.</t>
  </si>
  <si>
    <t>ROACH &amp; LIN, P.C.</t>
  </si>
  <si>
    <t>6851 Jericho Turnpike, Syosset, New York 11791</t>
  </si>
  <si>
    <t>706490/2017</t>
  </si>
  <si>
    <t>JPMORGAN CHASE BANK vs. BLACKMAN, DEBBIE ET AL</t>
  </si>
  <si>
    <t>JPMORGAN CHASE BANK, NATIONAL ASSOCIATION</t>
  </si>
  <si>
    <t>DEBBIE BLACKMAN</t>
  </si>
  <si>
    <t>13-57 McBride Street, Far Rockaway, NY 11691</t>
  </si>
  <si>
    <t>13-57 McBride Street</t>
  </si>
  <si>
    <t>(Block: 15663, Lot: 90)</t>
  </si>
  <si>
    <t>James S. Yoh, Esq.</t>
  </si>
  <si>
    <t>714472/2016</t>
  </si>
  <si>
    <t>WILMINGTON SAVINGS FUND SOCIETY vs. RIOS, MILAGROS</t>
  </si>
  <si>
    <t>WILMINGTON SAVINGS FUND SOCIETY, FSB</t>
  </si>
  <si>
    <t>MILAGROS RIOS</t>
  </si>
  <si>
    <t>107-06 111TH STREET, SOUTH RICHMOND HILL, NY 11419</t>
  </si>
  <si>
    <t>107-06 111TH STREET</t>
  </si>
  <si>
    <t>SOUTH RICHMOND HILL</t>
  </si>
  <si>
    <t>9548-8</t>
  </si>
  <si>
    <t>Matthew M. Lupoli, Esq.</t>
  </si>
  <si>
    <t>704820/2024</t>
  </si>
  <si>
    <t>Park Place Securities, Inc. vs. Seepersaud, Tina G. et al</t>
  </si>
  <si>
    <t>Park Place Securities, Inc., Asset-Backed Pass-Through</t>
  </si>
  <si>
    <t>Tina G. Seepersaud, Sustainable Neighborhoods LLC</t>
  </si>
  <si>
    <t>Tina G. Seepersaud</t>
  </si>
  <si>
    <t>104-23 123rd Street, South Richmond Hill, New York 11419</t>
  </si>
  <si>
    <t>104-23 123rd Street</t>
  </si>
  <si>
    <t>Block 9577 Lot 60</t>
  </si>
  <si>
    <t>SHELDON MAY &amp; ASSOCIATES</t>
  </si>
  <si>
    <t>255 Merrick Road, Rockville Centre, NY 11570</t>
  </si>
  <si>
    <t>516.763.3200</t>
  </si>
  <si>
    <t>Richard Piccola, Esq.</t>
  </si>
  <si>
    <t>716037/2021</t>
  </si>
  <si>
    <t>SAXON MORTGAGE SERVICES, INC vs. CRICHLOW, ANTHONY ETAL</t>
  </si>
  <si>
    <t>ANTHONY CRICHLOW</t>
  </si>
  <si>
    <t>108-40 164TH STREET, JAMAICA, NY 11433</t>
  </si>
  <si>
    <t>108-40 164TH STREET</t>
  </si>
  <si>
    <t>10171-52</t>
  </si>
  <si>
    <t>706969/2022</t>
  </si>
  <si>
    <t>U.S. BANK NATIONAL ASSOCIATION vs. BLOUNT, RAYMOND ETAL</t>
  </si>
  <si>
    <t>U.S. BANK NATIONAL ASSOCIATION AS TRUSTEE FOR THE REGISTERED HOLDERS OF ABFC 2007-WMC1</t>
  </si>
  <si>
    <t>RAYMOND BLOUNT; HOUSEHOLD FINANCE CORPORATION III</t>
  </si>
  <si>
    <t>RAYMOND BLOUNT</t>
  </si>
  <si>
    <t>418 BEACH 43RD ST, FAR ROCKAWAY, NEW YORK 11691</t>
  </si>
  <si>
    <t>418 BEACH 43RD ST</t>
  </si>
  <si>
    <t>FAR ROCKAWAY</t>
  </si>
  <si>
    <t>NEW YORK</t>
  </si>
  <si>
    <t>Block 15960, Lot 14</t>
  </si>
  <si>
    <t>Christopher Lestak, Esq.</t>
  </si>
  <si>
    <t>900 Merchants Concourse, Suite 310, Westbury, NY 11590</t>
  </si>
  <si>
    <t>516.280.7675</t>
  </si>
  <si>
    <t>713452/2023</t>
  </si>
  <si>
    <t>FEDERAL NATIONAL MORTGAGE vs. BUSCOMB, WAYNE ETAL.</t>
  </si>
  <si>
    <t>FEDERAL NATIONAL MORTGAGE ASSOCATION</t>
  </si>
  <si>
    <t>WAYNE BUSCOMB</t>
  </si>
  <si>
    <t>BRIAN BLAKE</t>
  </si>
  <si>
    <t>128-09 109TH AVENUE, JAMAICA, NY 11420</t>
  </si>
  <si>
    <t>128-09 109TH AVENUE</t>
  </si>
  <si>
    <t>Block: 9608 Lot: 108</t>
  </si>
  <si>
    <t>May 27th, 2025</t>
  </si>
  <si>
    <t>Frank A. Morrone, Esq.</t>
  </si>
  <si>
    <t>David A. Gallo &amp; Associates LLP</t>
  </si>
  <si>
    <t>47 Hillside Avenue - 2nd Floor, Manhasset, NY 11030</t>
  </si>
  <si>
    <t>SUSAN M. SILVERMAN, ESQ.</t>
  </si>
  <si>
    <t>715204/2016</t>
  </si>
  <si>
    <t>U.S. BANK NATIONAL ASSOCIATION vs. SHARIFF, AMIENA ETAL</t>
  </si>
  <si>
    <t>Amiena Shariff</t>
  </si>
  <si>
    <t>132-03 Linden Boulevard, Queens, NY 11420</t>
  </si>
  <si>
    <t>132-03 Linden Boulevard</t>
  </si>
  <si>
    <t>Block: 11636 Lot(s): 38</t>
  </si>
  <si>
    <t>Judith Constance Aarons, Esq.</t>
  </si>
  <si>
    <t>721006/2019</t>
  </si>
  <si>
    <t>WELLS FARGO BANK, NATIONAL ASSOCIATION vs. COWAN, HEATHER et al</t>
  </si>
  <si>
    <t>WELLS FARGO BANK, NATIONAL ASSOCIATION</t>
  </si>
  <si>
    <t>HEATHER COWAN</t>
  </si>
  <si>
    <t>13019 176TH PLACE, JAMAICA, NY 11434</t>
  </si>
  <si>
    <t>13019 176TH PLACE</t>
  </si>
  <si>
    <t>12537-91</t>
  </si>
  <si>
    <t>Rita Solomon, Esq.</t>
  </si>
  <si>
    <t>709300/2022</t>
  </si>
  <si>
    <t>JPMORGAN CHASE BANK, NATIONAL vs. MULTANI, BALBIR SINGH ETAL</t>
  </si>
  <si>
    <t>BALBIR SINGH MULTANI</t>
  </si>
  <si>
    <t>107-42 134th Street, South Richmond Hill, NY 11419</t>
  </si>
  <si>
    <t>107-42 134th Street</t>
  </si>
  <si>
    <t>Block 9613 Lot 30</t>
  </si>
  <si>
    <t>Osato Eugene Uzamere, Esq.</t>
  </si>
  <si>
    <t>713123/2019</t>
  </si>
  <si>
    <t>NYCTL 1998-2 TRUST AND THE BANK OF NEW YORK MELLON vs. ELDER AVE REALTY CORP. et al</t>
  </si>
  <si>
    <t>NYCTL 1998-2 TRUST and THE BANK OF NEW YORK</t>
  </si>
  <si>
    <t>ELDER AVE REALTY CORP., THE BOARD OF MANAGERS</t>
  </si>
  <si>
    <t>ELDER AVE REALTY CORP.</t>
  </si>
  <si>
    <t>138-35 Elder Avenue, Parking Garage Unit 173, Flushing, New York</t>
  </si>
  <si>
    <t>138-35 Elder Avenue</t>
  </si>
  <si>
    <t>Block 5137 and Lot 1173</t>
  </si>
  <si>
    <t>709183/2023</t>
  </si>
  <si>
    <t>WILMINGTON TRUST, NATIONAL ASSOCIATION vs. WYSZYNSKI, ANDRZEJ et al</t>
  </si>
  <si>
    <t>WILMINGTON TRUST, NATIONAL ASSOCIATION</t>
  </si>
  <si>
    <t>ANDRZEJ WYSZYNSKI</t>
  </si>
  <si>
    <t>Andrzej Wyszynski</t>
  </si>
  <si>
    <t>97-12 63rd Drive Unit PHC and Parking Space 18 Rego Park, NY 11374</t>
  </si>
  <si>
    <t>97-12 63rd Drive</t>
  </si>
  <si>
    <t>Block 2090 Lots 1140 and 1018</t>
  </si>
  <si>
    <t>717727/2023</t>
  </si>
  <si>
    <t>J.P. Morgan Mortgage Acquisition Corp. vs. Crawford, Carmen et al</t>
  </si>
  <si>
    <t>J.P. Morgan Mortgage Acquisition Corp.</t>
  </si>
  <si>
    <t>Carmen Crawford, United States of America</t>
  </si>
  <si>
    <t>Carmen Crawford</t>
  </si>
  <si>
    <t>200-12 Linden Boulevard, St. Albans, New York 11412</t>
  </si>
  <si>
    <t>200-12 Linden Boulevard</t>
  </si>
  <si>
    <t>St. Albans</t>
  </si>
  <si>
    <t>Block 12625 and Lot 6</t>
  </si>
  <si>
    <t>Ted Eric May, Esq.</t>
  </si>
  <si>
    <t>Sheldon May &amp; Associates, P.C.</t>
  </si>
  <si>
    <t>255 Merrick Road, Rockville Centre, New York 11570</t>
  </si>
  <si>
    <t>708150/2018</t>
  </si>
  <si>
    <t>BANK OF AMERICA, N.A. vs. BOIS, CATHERINE ETAL</t>
  </si>
  <si>
    <t>BANK OF AMERICA, N. Α.</t>
  </si>
  <si>
    <t>CATHERINE BOIS; LATISHA L. BUNN</t>
  </si>
  <si>
    <t>CATHERINE BOIS</t>
  </si>
  <si>
    <t>LATISHA L. BUNN</t>
  </si>
  <si>
    <t>128-29 147th Street, Jamaica, New York 11436</t>
  </si>
  <si>
    <t>128-29 147th Street</t>
  </si>
  <si>
    <t>Block: 12106 Lot: 8</t>
  </si>
  <si>
    <t>Megan J. Lyte, Esq.</t>
  </si>
  <si>
    <t>DAVIDSON FINK LLP</t>
  </si>
  <si>
    <t>28 East Main Street, Suite 1700, Rochester, New York 14614</t>
  </si>
  <si>
    <t>585.760.8218</t>
  </si>
  <si>
    <t>709107/2021</t>
  </si>
  <si>
    <t>US BANK TRUST NATIONAL ASSOCIATION vs. ROBERTS, LEXION ETAL</t>
  </si>
  <si>
    <t>LEXION ROBERTS</t>
  </si>
  <si>
    <t>14735 Springfield Ln, Rosedale, NY 11413</t>
  </si>
  <si>
    <t>14735 Springfield Ln</t>
  </si>
  <si>
    <t>Rosedale</t>
  </si>
  <si>
    <t>Block 13435 Lot 17</t>
  </si>
  <si>
    <t>712878/2016</t>
  </si>
  <si>
    <t>FEDERAL NATIONAL MORTGAGE vs. LETMAN, MAURICE</t>
  </si>
  <si>
    <t>MAURICE LETMAN</t>
  </si>
  <si>
    <t>130-58 224TH STREET, SPRINGFIELD GARDENS, NY 11413</t>
  </si>
  <si>
    <t>130-58 224TH STREET</t>
  </si>
  <si>
    <t>SPRINGFIELD GARDENS</t>
  </si>
  <si>
    <t>Rhonda Lowe, Esq.</t>
  </si>
  <si>
    <t>711571/2018</t>
  </si>
  <si>
    <t>FEDERAL NATIONAL MORTGAGE ASSOCIATION vs. PARRIS, CARLTON DAY ETAL</t>
  </si>
  <si>
    <t>LIVE WELL FINANCIAL INC</t>
  </si>
  <si>
    <t>CARLTON DAY PARRIS</t>
  </si>
  <si>
    <t>104-21 215th Street, Queens Village, NY 11429</t>
  </si>
  <si>
    <t>104-21 215th Street</t>
  </si>
  <si>
    <t>Block 11100 Lot 3</t>
  </si>
  <si>
    <t>Raspreet Bhatia, Esq.</t>
  </si>
  <si>
    <t>GREENSPOON MARDER LLP</t>
  </si>
  <si>
    <t>590 Madison Avenue, Suite 1800, New York, NY 10022</t>
  </si>
  <si>
    <t>212.524.5000</t>
  </si>
  <si>
    <t>712419/2023</t>
  </si>
  <si>
    <t>U.S. BANK TRUST NATIONAL ASSOCIATION, vs. JOHNSON, J. PATRICIA et al</t>
  </si>
  <si>
    <t>J. PATRICIA JOHNSON A/K/A JOYCELYN P. JOHNSON A/K/A JOYCELYN PATRICIA JOHNSON A/K/A JOYCELYN PATRICIA JAMES JOHNSON A/K/A JOCELYN PATRICIA JAMES JOHNSON A/K/A JOYCELYN PATRICIA JOHNSON-WELCH</t>
  </si>
  <si>
    <t xml:space="preserve">J. PATRICIA JOHNSON </t>
  </si>
  <si>
    <t>24-02 Oceancrest a/k/a Ocean Crest Boulevard, Far Rockaway, NY 11691</t>
  </si>
  <si>
    <t>24-02 Oceancrest a/k/a Ocean Crest Boulevard</t>
  </si>
  <si>
    <t>Block 15733 and Lot 54 a/k/a Section 60, Block 15733 and Lot 54</t>
  </si>
  <si>
    <t>711316/2018</t>
  </si>
  <si>
    <t>U.S. BANK NATIONAL vs. KECHULA, JOAN ETAL</t>
  </si>
  <si>
    <t>JOAN KECHULA, PETER J. KECHULA</t>
  </si>
  <si>
    <t>JOAN KECHULA</t>
  </si>
  <si>
    <t>PETER J. KECHULA</t>
  </si>
  <si>
    <t>24855 A/K/A 248-55 88th Road, Bellerose, NY 11426</t>
  </si>
  <si>
    <t>24855 A/K/A 248-55 88th Road</t>
  </si>
  <si>
    <t>Bellerose</t>
  </si>
  <si>
    <t>Block 8639 and Lot 75.</t>
  </si>
  <si>
    <t>Alen R. Beerman, Esq.</t>
  </si>
  <si>
    <t>719492/2021</t>
  </si>
  <si>
    <t>ONEWEST BANK, FSB vs. ALLEN, DONNARINE ETAL</t>
  </si>
  <si>
    <t>ONEWEST BANK, FSB</t>
  </si>
  <si>
    <t>DONNARINE ALLEN; ANGELLA ALLEN</t>
  </si>
  <si>
    <t>DONNARINE ALLEN</t>
  </si>
  <si>
    <t>ANGELLA ALLEN</t>
  </si>
  <si>
    <t>142-07 135th Avenue, Jamaica, New York 11436</t>
  </si>
  <si>
    <t>142-07 135th Avenue</t>
  </si>
  <si>
    <t>Block 12087 Lot 95</t>
  </si>
  <si>
    <t>701579/2020</t>
  </si>
  <si>
    <t>NYCTL 1998-2 TRUST AND THE BANK OF NEW YORK MELLON vs. GOTTI, VICTORIA et al</t>
  </si>
  <si>
    <t>VICTORIA GOTTI, CITY OF NEW YORK ENVIRONMENTAL</t>
  </si>
  <si>
    <t>VICTORIA GOTTI</t>
  </si>
  <si>
    <t>143-10 Liberty Avenue, Jamaica, New York 11435</t>
  </si>
  <si>
    <t>143-10 Liberty Avenue</t>
  </si>
  <si>
    <t>Block 10041 and Lot 3</t>
  </si>
  <si>
    <t>725462/2022</t>
  </si>
  <si>
    <t>Titan Capital ID, LLC vs. Chen, Hui et al</t>
  </si>
  <si>
    <t>136-31 41st Avenue, Unit 8A, Flushing, NY 11355</t>
  </si>
  <si>
    <t>136-31 41st Avenue, Unit 8A</t>
  </si>
  <si>
    <t>Block 5019 and Lot 1030</t>
  </si>
  <si>
    <t>Vallely Law PLLC</t>
  </si>
  <si>
    <t>703233/2013</t>
  </si>
  <si>
    <t>NATIONSTAR MORTGAGE LLC, vs. CHASE, III, ARTHUR H. ETAL.</t>
  </si>
  <si>
    <t>NATIONSTAR MORTGAGE LLC</t>
  </si>
  <si>
    <t>ARTHUR H. CHASE, III</t>
  </si>
  <si>
    <t>128-15 235th Street, Rosedale, NY 11422</t>
  </si>
  <si>
    <t>128-15 235th Street</t>
  </si>
  <si>
    <t>Block 12876 and Lot 32</t>
  </si>
  <si>
    <t>703196/2016</t>
  </si>
  <si>
    <t>CIT BANK, N.A. vs. HEDMAN, YVONNE BOBIJEN</t>
  </si>
  <si>
    <t>BANK OF NEW YORK MELLON TRUST COMPANY</t>
  </si>
  <si>
    <t>YVONNE BOBIJEN HEDMAN A/K/A YVONNE FAGAN</t>
  </si>
  <si>
    <t>114-43 212TH STREET, JAMAICA, NY 11411</t>
  </si>
  <si>
    <t>114-43 212TH STREET</t>
  </si>
  <si>
    <t>11031-34</t>
  </si>
  <si>
    <t>Jason S. Vishnick, Esq.</t>
  </si>
  <si>
    <t>703839/2014</t>
  </si>
  <si>
    <t>WELLS FARGO BANK, NA vs. MCKENZIE, PHELICIA ETAL</t>
  </si>
  <si>
    <t>PHELICIA MCKENZIE</t>
  </si>
  <si>
    <t>JOAN MCKENZIE</t>
  </si>
  <si>
    <t>110-03 Guy R. Brewer Blvd, Jamaica, NY 11433</t>
  </si>
  <si>
    <t>110-03 Guy R. Brewer Blvd</t>
  </si>
  <si>
    <t>SBL: 45-10190-0040</t>
  </si>
  <si>
    <t>Richard A. Piccola, Esq.</t>
  </si>
  <si>
    <t>722678/2021</t>
  </si>
  <si>
    <t>U.S. BANK TRUST, N.A vs. VELEZ, JOHNNY ETAL.</t>
  </si>
  <si>
    <t>U.S BANK TRUST, N.A., AS TRUSTEE FOR LSF9 MASTER PARTICIPATION TRUST</t>
  </si>
  <si>
    <t>JOHNNY VELEZ</t>
  </si>
  <si>
    <t>9022 52ND AVENUE, ELMHURST, NY 11373</t>
  </si>
  <si>
    <t>9022 52ND AVENUE</t>
  </si>
  <si>
    <t>ELMHURST</t>
  </si>
  <si>
    <t>1854-7</t>
  </si>
  <si>
    <t>Dominick Dale, Esq.</t>
  </si>
  <si>
    <t>700278/2019</t>
  </si>
  <si>
    <t>WILMINGTON SAVINGS FUND SOCIETY, FSB vs. HOSSAIN, MOHAMMAD A. ETAL</t>
  </si>
  <si>
    <t>WILMINGTON SAVINGS FUNDS SOCIETY, FSB AS</t>
  </si>
  <si>
    <t>MOHAMMAD A. HOSSAIN A/K/A MOHAMMAD HOSSAIN A/K/A MOHAMMAD ANOWAR HOSSAIN</t>
  </si>
  <si>
    <t>MOHAMMAD ANOWAR HOSSAIN</t>
  </si>
  <si>
    <t>NATALE TURSI</t>
  </si>
  <si>
    <t>85-20 167th Street Jamaica, New York 11432</t>
  </si>
  <si>
    <t>85-20 167th Street</t>
  </si>
  <si>
    <t>Block 9849, Lot 119</t>
  </si>
  <si>
    <t>Chezki Menashe, Esq.</t>
  </si>
  <si>
    <t>MENASHE &amp; LAPA LLP</t>
  </si>
  <si>
    <t>400 Rella Boulevard, Suite 190, Montebello, New York 10901</t>
  </si>
  <si>
    <t>(845) 520-9220</t>
  </si>
  <si>
    <t>Nora Constance Marino, Esq.</t>
  </si>
  <si>
    <t>704168/2016</t>
  </si>
  <si>
    <t>WELLS FARGO BANK, N.A. vs. RAMDHANI, VIJAY ETAL</t>
  </si>
  <si>
    <t>Vijay Ramdhani, Rohani Bano</t>
  </si>
  <si>
    <t>Vijay Ramdhani</t>
  </si>
  <si>
    <t>Rohani Bano</t>
  </si>
  <si>
    <t>91-38 Springfield Boulevard, Queens Village, NY 11428</t>
  </si>
  <si>
    <t>91-38 Springfield Boulevard</t>
  </si>
  <si>
    <t>BLOCK: 10711, LOT: 23</t>
  </si>
  <si>
    <t>Robert J. Aiello, Esq.</t>
  </si>
  <si>
    <t>703115/2019</t>
  </si>
  <si>
    <t>U.S. BANK TRUST NATIONAL ASSOCIATION, vs. LEUNG, TING ETAL</t>
  </si>
  <si>
    <t>TING LEUNG</t>
  </si>
  <si>
    <t>43-47 247th Street, Flushing, NY 11363</t>
  </si>
  <si>
    <t>43-47 247th Street</t>
  </si>
  <si>
    <t>Block 8117 and Lot 65</t>
  </si>
  <si>
    <t>725950/2021</t>
  </si>
  <si>
    <t>U.S. BANK NATIONAL ASSOCIATION vs. AMANCIO, NERI ETAL</t>
  </si>
  <si>
    <t>Neri Amancio</t>
  </si>
  <si>
    <t>9519 80th Street, Ozone Park, NY 11416</t>
  </si>
  <si>
    <t>9519 80th Street</t>
  </si>
  <si>
    <t>Block: 9008 Lot: 40</t>
  </si>
  <si>
    <t>James Yoh, Esq.</t>
  </si>
  <si>
    <t>701991/2020</t>
  </si>
  <si>
    <t>ASCENSION EQUITIES, LLC vs. R.C.L. 106 CORP. ANO</t>
  </si>
  <si>
    <t>ASCENSION EQUITIES, LLC</t>
  </si>
  <si>
    <t>R.C.L 106 CORP.</t>
  </si>
  <si>
    <t>177-02 106th Road, Jamaica, NY 11433</t>
  </si>
  <si>
    <t>177-02 106th Road</t>
  </si>
  <si>
    <t>Block 10335 and Lot 1</t>
  </si>
  <si>
    <t>Amy E. Hatch, Esq.</t>
  </si>
  <si>
    <t>Polsinelli PC</t>
  </si>
  <si>
    <t>600 Third Avenue, New York, New York 10016</t>
  </si>
  <si>
    <t>Steven Wimpfheimer, Esq.</t>
  </si>
  <si>
    <t>701283/2018</t>
  </si>
  <si>
    <t>WELLS FARGO BANK, NATIONAL vs. BAUDUY, MANOUCHEKA ETAL</t>
  </si>
  <si>
    <t>WELLS FARGO BANK, NATIONAL</t>
  </si>
  <si>
    <t>MANOUCHEKA BAUDUY</t>
  </si>
  <si>
    <t>11612 207TH STREET, CAMBRIA HEIGHTS, NY 11411</t>
  </si>
  <si>
    <t>11612 207TH STREET</t>
  </si>
  <si>
    <t>Block 11079, Lot 29:</t>
  </si>
  <si>
    <t>Patricia A. Powis, Esq.</t>
  </si>
  <si>
    <t>702877/2024</t>
  </si>
  <si>
    <t>CLOUT CAPITAL LLC, vs. SEAMAN M. CONSTRUCTION CORP et al</t>
  </si>
  <si>
    <t>CLOUT CAPITAL LLC</t>
  </si>
  <si>
    <t>SEAMAN M. CONSTRUCTION CORP.</t>
  </si>
  <si>
    <t>40-10 Rockaway Beach Boulevard, Rockaway Beach, NY 11691</t>
  </si>
  <si>
    <t>40-10 Rockaway Beach Boulevard</t>
  </si>
  <si>
    <t>Rockaway Beach</t>
  </si>
  <si>
    <t>Block 15830 and Lot 5</t>
  </si>
  <si>
    <t>Ruth Baez, Esq.</t>
  </si>
  <si>
    <t>721881/2021</t>
  </si>
  <si>
    <t>BANK OF NEW YORK AS TRUSTEE vs. KISSOON, CANCHAN S. ETAL</t>
  </si>
  <si>
    <t>THE BANK OF NEW YORK MELLON</t>
  </si>
  <si>
    <t>CANCHAN S. KISSOON</t>
  </si>
  <si>
    <t>PEETAMBER PERSAUD</t>
  </si>
  <si>
    <t>1451 31st Avenue, Astoria, NY 11106</t>
  </si>
  <si>
    <t>1451 31st Avenue</t>
  </si>
  <si>
    <t>Astoria</t>
  </si>
  <si>
    <t>Block 534 and Lot 103</t>
  </si>
  <si>
    <t>1345 Avenue of the Americas, Suite 2200, New York, NY 10105</t>
  </si>
  <si>
    <t>Nora Marino, Esq.</t>
  </si>
  <si>
    <t>700013/2015</t>
  </si>
  <si>
    <t>DEUTSCHE BANK NATIONAL TRUST vs. MUNGAL, JODAYNE</t>
  </si>
  <si>
    <t>DEUTSCHE BANK NATIONAL TRUST COMPANY AS INDENTURE TRUSTEE FOR AMERICAN HOME MORTGAGE INVESTMENT TRUST 2006-3</t>
  </si>
  <si>
    <t>JODAYNE MUNGAL</t>
  </si>
  <si>
    <t>107-18 108TH ST, SOUTH RICHMOND HILL, NY 11419</t>
  </si>
  <si>
    <t>107-18 108TH ST</t>
  </si>
  <si>
    <t>Block 9545, Lot 16</t>
  </si>
  <si>
    <t>RAS Boriskin, LLC</t>
  </si>
  <si>
    <t>Dominic A. Villoni, Esq.</t>
  </si>
  <si>
    <t>718341/2021</t>
  </si>
  <si>
    <t>WILMINGTON SAVINGS FUND SOCIETY FSB, vs. BENTON, RACINE et al</t>
  </si>
  <si>
    <t>FINANCE OF AMERICA REVERSE LLC</t>
  </si>
  <si>
    <t>RACINE BENTON AS TRUSTEE OF THE</t>
  </si>
  <si>
    <t>RACINE BENTON AS TRUSTEE</t>
  </si>
  <si>
    <t>142-12 222nd Street, Laurelton, NY 11413</t>
  </si>
  <si>
    <t>142-12 222nd Street</t>
  </si>
  <si>
    <t>Laurelton</t>
  </si>
  <si>
    <t>BLOCK 13062, LOT 42</t>
  </si>
  <si>
    <t>Ashley M Pascuzzi, Esq</t>
  </si>
  <si>
    <t>701722/2014</t>
  </si>
  <si>
    <t>US BANK NATIONAL vs. PINOS, TARQUINO D. ETAL.</t>
  </si>
  <si>
    <t>TARQUINO D PINOS, NEW YORK CITY ENVIRONMENTAL CONTROL BOARD</t>
  </si>
  <si>
    <t>TARQUINO D PINOS</t>
  </si>
  <si>
    <t>111 -13 39TH AVE, CORONA, NY 11368</t>
  </si>
  <si>
    <t>111 -13 39TH AVE</t>
  </si>
  <si>
    <t>CORONA</t>
  </si>
  <si>
    <t>Block: 1783 Lot:31</t>
  </si>
  <si>
    <t>PARASKEVAS BINAKIS, ESQ.</t>
  </si>
  <si>
    <t>LEOPOLD &amp; ASSOCIATES, PLLC</t>
  </si>
  <si>
    <t>80 Business Park Drive, Suite 110, Armonk, NY 10504</t>
  </si>
  <si>
    <t>914.219.5787</t>
  </si>
  <si>
    <t>716427/2021</t>
  </si>
  <si>
    <t>NYC 1 GROUP INC vs. GARFIELD JR, JULIAN ISRAEL et al</t>
  </si>
  <si>
    <t>NYC 1 GROUP INC</t>
  </si>
  <si>
    <t>JULIAN ISRAEL GARFIELD JR and CITIBANK N.A.</t>
  </si>
  <si>
    <t>JULIAN ISRAEL GARFIELD JR</t>
  </si>
  <si>
    <t>25-15 Ericsson Street, East Elmhurst, New York</t>
  </si>
  <si>
    <t>25-15 Ericsson Street</t>
  </si>
  <si>
    <t>Section 10, Block 1654, Lot 12</t>
  </si>
  <si>
    <t>Suzanne Drysdale, Esq.</t>
  </si>
  <si>
    <t>7718 Flatlands Avenue, Brooklyn, New York 11236</t>
  </si>
  <si>
    <t>718.452.6804</t>
  </si>
  <si>
    <t>718487/2023</t>
  </si>
  <si>
    <t>CITIMORTGAGE, INC. vs. RAHMING, JABU M. et al</t>
  </si>
  <si>
    <t>CITIMORTGAGE, INC.</t>
  </si>
  <si>
    <t>JABU M. RAHMING A/K/A JABU RAHMING</t>
  </si>
  <si>
    <t>177-22 119TH ROAD, ST. ALBANS, NY 11412</t>
  </si>
  <si>
    <t>177-22 119TH ROAD</t>
  </si>
  <si>
    <t>ST. ALBANS</t>
  </si>
  <si>
    <t>Block: 12469 Lot: 52</t>
  </si>
  <si>
    <t>July 2nd, 2025</t>
  </si>
  <si>
    <t>David A.Gallo &amp; Associates LLP</t>
  </si>
  <si>
    <t>47 Hillside Avenue, Manhasset, NY 11030</t>
  </si>
  <si>
    <t>HELMUT BORCHERT, ESQ.</t>
  </si>
  <si>
    <t>701701/2013</t>
  </si>
  <si>
    <t>BANK OF AMERICA, N.A. vs. MARTE, GREGORIO A. ETAL</t>
  </si>
  <si>
    <t>Bank of America, N.A.</t>
  </si>
  <si>
    <t>Gregorio A.Marte a/k/a Gregorio Marte</t>
  </si>
  <si>
    <t>Gregorio A.Marte</t>
  </si>
  <si>
    <t>Gregorio Marte</t>
  </si>
  <si>
    <t>115-43 124th Street, South Ozone Park, NY 11420</t>
  </si>
  <si>
    <t>115-43 124th Street</t>
  </si>
  <si>
    <t>BLOCK: 11668, LOT: 46</t>
  </si>
  <si>
    <t>711249/2021</t>
  </si>
  <si>
    <t>NATIONSTAR MORTGAGE LLC vs. MENDOZA, RICARDO ETAL</t>
  </si>
  <si>
    <t>RICARDO MENDOZA</t>
  </si>
  <si>
    <t>30-50 86th Street a/k/a 3050 86th Street, East Elmhurst, New York 11369</t>
  </si>
  <si>
    <t>30-50 86th Street a/k/a 3050 86th Street</t>
  </si>
  <si>
    <t>Block 1383 Lot 30</t>
  </si>
  <si>
    <t>Eun Chong Thorsen, Esq,</t>
  </si>
  <si>
    <t>709494/2022</t>
  </si>
  <si>
    <t>WELLS FARGO BANK,N.A. vs. GORDON, JOAN E. et al</t>
  </si>
  <si>
    <t>WELLS FARGO BANK, N.A.</t>
  </si>
  <si>
    <t>JOAN E. GORDON</t>
  </si>
  <si>
    <t>167-06 111TH AVENUE, JAMAICA, NY 11433</t>
  </si>
  <si>
    <t>167-06 111TH AVENUE</t>
  </si>
  <si>
    <t>10205-29</t>
  </si>
  <si>
    <t>711442/2017</t>
  </si>
  <si>
    <t>NATIONSTAR MORTGAGE LLC vs. KOURIDIS, DINA ETAL</t>
  </si>
  <si>
    <t>DINA KOURIDIS AKA KONSTANTINA KOURIDIS</t>
  </si>
  <si>
    <t>DINA KOURIDIS</t>
  </si>
  <si>
    <t>KONSTANTINA KOURIDIS</t>
  </si>
  <si>
    <t>32-39 45th Street, Astoria, NY 11103</t>
  </si>
  <si>
    <t>32-39 45th Street</t>
  </si>
  <si>
    <t>Block 708 and Lot 23</t>
  </si>
  <si>
    <t>Judah Maltz, Esq.</t>
  </si>
  <si>
    <t>718338/2023</t>
  </si>
  <si>
    <t>U.S. BANK TRUST NATIONAL ASSOCIATION, vs. MAMMINA, ANNA et al</t>
  </si>
  <si>
    <t>MCLP ASSET COMPANY, INC.</t>
  </si>
  <si>
    <t>ΑΝΝΑ ΜΑMMINA</t>
  </si>
  <si>
    <t>JOSEPH P. MAMMINA</t>
  </si>
  <si>
    <t>171 Beach 91st Street Rockaway Beach, NY 11693</t>
  </si>
  <si>
    <t>171 Beach 91st Street</t>
  </si>
  <si>
    <t>Block 16134 Lot: 141</t>
  </si>
  <si>
    <t>Alyson Bisacco, Esq.</t>
  </si>
  <si>
    <t>ALDRIDGE PITE, LLP.</t>
  </si>
  <si>
    <t>Six Piedmont Center 3525 Piedmont Road, N.E. Suite 700 Atlanta, GA 30305</t>
  </si>
  <si>
    <t>631.454.8059</t>
  </si>
  <si>
    <t>709482/2015</t>
  </si>
  <si>
    <t>U.S. BANK NATIONAL vs. CHEATHAM, MICHAEL ETAL</t>
  </si>
  <si>
    <t>MICHAEL CHEATHAM</t>
  </si>
  <si>
    <t>61-25 165th Street, Fresh Meadows a/k/a Flushing, NY 11365</t>
  </si>
  <si>
    <t>61-25 165th Street</t>
  </si>
  <si>
    <t>Fresh Meadows</t>
  </si>
  <si>
    <t>Block 06893 and Lot 0020</t>
  </si>
  <si>
    <t>Eckert Seamans Cherin &amp; Mellott, LLC</t>
  </si>
  <si>
    <t>10 Bank Street, Suite 700, White Plains, New York 10606</t>
  </si>
  <si>
    <t>710468/2021</t>
  </si>
  <si>
    <t>DEUTSCHE BANK NATIONAL vs. MCCLAM JR. , JOSEPH H. ETAL</t>
  </si>
  <si>
    <t>DEUTSCHE BANK NATIONAL TRUST COMPANY, AS TRUSTEE FOR FREMONT HOME LOAN TRUST 2006-3</t>
  </si>
  <si>
    <t>JOSEPH H. MCCLAM, JR. A/K/A JOSEPH H. MCCLAM</t>
  </si>
  <si>
    <t>JOSEPH H. MCCLAM, JR.</t>
  </si>
  <si>
    <t>JOSEPH H. MCCLAM</t>
  </si>
  <si>
    <t>116-12 148th Street, Jamaica, NY 11436</t>
  </si>
  <si>
    <t>116-12 148th Street</t>
  </si>
  <si>
    <t>Block: 12007 Lot: 267</t>
  </si>
  <si>
    <t>Dominic L. Chiariello, Esq.</t>
  </si>
  <si>
    <t>721436/2021</t>
  </si>
  <si>
    <t>CITIMORTGAGE, INC. vs. CORRENTE, MARIA ETAL</t>
  </si>
  <si>
    <t>MARIA CORRENTE</t>
  </si>
  <si>
    <t>20-17 43RD STREET, ASTORIA, NY 11105</t>
  </si>
  <si>
    <t>20-17 43RD STREET</t>
  </si>
  <si>
    <t>ASTORIA</t>
  </si>
  <si>
    <t>BRADLEY M. MCGLYNN, ESQ.</t>
  </si>
  <si>
    <t>718264/2024</t>
  </si>
  <si>
    <t>JY SHTOTTY SPE LLC vs. R&amp;amp;L PROPERTIES, LLC et al</t>
  </si>
  <si>
    <t>JY SHTOTTY SPE LLC</t>
  </si>
  <si>
    <t>R&amp;L PROPERTIES, LLC; RMN MASPETH REALTY</t>
  </si>
  <si>
    <t>R&amp;L PROPERTIES, LLC</t>
  </si>
  <si>
    <t>44-25 54th Drive, Queens, New York</t>
  </si>
  <si>
    <t>44-25 54th Drive</t>
  </si>
  <si>
    <t>Block 2537, Lot 34 Block 2622, Lot 111 Block 4660, Lot 1 Block 756, Lot 26 Block 756, Lot 25 Block 756, Lot 6</t>
  </si>
  <si>
    <t>Aviva Francis, Esq.</t>
  </si>
  <si>
    <t>JACOBOWITZ NEWMAN TVERSKY LLP</t>
  </si>
  <si>
    <t>377 Pearsall Avenue, Suite C, Cedarhurst, New York 11516</t>
  </si>
  <si>
    <t>516.545.0343</t>
  </si>
  <si>
    <t>Angelyn D. Johnson, Esq.</t>
  </si>
  <si>
    <t>708697/2019</t>
  </si>
  <si>
    <t>US BANK TRUST NATIONAL ASSOCIATION vs. SAMUEL, ALEXIS ETAL</t>
  </si>
  <si>
    <t>US BANK TRUST NATIONAL ASSOCIATION</t>
  </si>
  <si>
    <t>ALEXIS SAMUEL</t>
  </si>
  <si>
    <t>119-23 165th Street, Jamaica, NY 11434</t>
  </si>
  <si>
    <t>119-23 165th Street</t>
  </si>
  <si>
    <t>Block: 12360, Lot: 18</t>
  </si>
  <si>
    <t>Jonathan Silver, Esq.</t>
  </si>
  <si>
    <t>702176/2022</t>
  </si>
  <si>
    <t>DEUTSCHE BANK NATIONAL TRUST vs. ODOGBILI, CHRISTOPHER ETAL.</t>
  </si>
  <si>
    <t>DEUTSCHE BANK NATIOAN TRUST COMPANY, AS TRUSTEE FOR AMERICAN               HOME MORTGAGE ASSETS TRUST 2007-2</t>
  </si>
  <si>
    <t>CHRISTOPHER ODOGBILI</t>
  </si>
  <si>
    <t>114 -15 118Th Street, South Ozone Park, New York 11420</t>
  </si>
  <si>
    <t>114-15 118th Street</t>
  </si>
  <si>
    <t>Block 11645 Lot 60</t>
  </si>
  <si>
    <t>One Huntington Quadrangle, Suite 4N25 Melville, NY 11747</t>
  </si>
  <si>
    <t>Scott H Siller, Esq.</t>
  </si>
  <si>
    <t>708829/2015</t>
  </si>
  <si>
    <t>JP MORGAN CHASE BANK, N.A. , vs. SINGH, RAJBIR</t>
  </si>
  <si>
    <t>JP MORGAN CHASE BANK, Ν.Α.</t>
  </si>
  <si>
    <t>RAJBIR SINGH, RAVINDER KAUR</t>
  </si>
  <si>
    <t>RAJBIR SINGH</t>
  </si>
  <si>
    <t>RAVINDER KAUR</t>
  </si>
  <si>
    <t>95-45 115th Street, Jamaica, NY 11419</t>
  </si>
  <si>
    <t>95-45 115th Street</t>
  </si>
  <si>
    <t>Block 9417, and Lot 71</t>
  </si>
  <si>
    <t>Thomas J. Tyrrel Jr., Esq.</t>
  </si>
  <si>
    <t>STIENE &amp; ASSOCIATES, P.C.</t>
  </si>
  <si>
    <t>187 East Main Street, Huntington, NY 11743</t>
  </si>
  <si>
    <t>631.935.1616</t>
  </si>
  <si>
    <t>718066/2021</t>
  </si>
  <si>
    <t>Board of Managers of Patchogue Homes Condominium II vs. Mona, Rhonda et al</t>
  </si>
  <si>
    <t>BOARD OF MANAGERS OF PATCHOGUE HOMES CONDOMINIUM II</t>
  </si>
  <si>
    <t>RHONDA MONA; STATE OF NEW YORK</t>
  </si>
  <si>
    <t>RHONDA MONA</t>
  </si>
  <si>
    <t>149-30 88th Avenue, Unit 6N, Howard Beach, New York 11414</t>
  </si>
  <si>
    <t>149-30 88th Avenue, Unit 6N</t>
  </si>
  <si>
    <t>Block 11417 Lot 3613</t>
  </si>
  <si>
    <t>Heino J. Muller, Esq.</t>
  </si>
  <si>
    <t>SCHNEIDER BUCHEL LLP</t>
  </si>
  <si>
    <t>666 Old Country Road, Suite 412, Garden City, New York 11530</t>
  </si>
  <si>
    <t>516.393.5555</t>
  </si>
  <si>
    <t>710033/2019</t>
  </si>
  <si>
    <t>WILMINGTON SAVINGS FUND SOCIETY, FSB, vs. CLEMONS MARIE ETAL AKA MARIE</t>
  </si>
  <si>
    <t>LIVE WELL FINANCIAL, INC.</t>
  </si>
  <si>
    <t>MARIE CLEMONS AKA MARIE REDD</t>
  </si>
  <si>
    <t>NICOLE ANN BARKSDALE</t>
  </si>
  <si>
    <t>111-48 168th Street, Jamaica, NY 11433</t>
  </si>
  <si>
    <t>111-48 168th Street</t>
  </si>
  <si>
    <t>Block 10205, Lot 56</t>
  </si>
  <si>
    <t>Holly Hamilton, Esq.</t>
  </si>
  <si>
    <t>590 Madison Avenue, New York, NY 10022</t>
  </si>
  <si>
    <t>709993/2023</t>
  </si>
  <si>
    <t>Citizens Bank, N.A. f/k/a RBS Citizens, N.A. vs. Long, Guy et al</t>
  </si>
  <si>
    <t>Citizens Bank, N.A. f/k/a RBS Citizens, N.Α.</t>
  </si>
  <si>
    <t>Guy Long a/k/a Guy S. Long, Karen Long a/k/a Karen C. Long</t>
  </si>
  <si>
    <t>Guy Long a/k/a Guy S. Long</t>
  </si>
  <si>
    <t>Karen Long a/k/a Karen C. Long</t>
  </si>
  <si>
    <t>18-18 Cross Bald Blvd, Broad Channel, NY 11693</t>
  </si>
  <si>
    <t>18-18 Cross Bald Blvd</t>
  </si>
  <si>
    <t>Broad Channel</t>
  </si>
  <si>
    <t>Block: 15483 Lot: 0008</t>
  </si>
  <si>
    <t>Esther S. Gabriel</t>
  </si>
  <si>
    <t>HARRIS BEACH PLLC</t>
  </si>
  <si>
    <t>333 West Washington Street, Suite 200, Syracuse, New York 13202</t>
  </si>
  <si>
    <t>(315) 423-7100</t>
  </si>
  <si>
    <t>723831/2023</t>
  </si>
  <si>
    <t>JPMorgan Chase Bank, National Association vs. Gomes, Paul et al</t>
  </si>
  <si>
    <t>Paul Gomes a/k/a Paul Amal Gomes</t>
  </si>
  <si>
    <t>168-66 93rd Avenue, Jamaica, NY 11433</t>
  </si>
  <si>
    <t>168-66 93rd Avenue</t>
  </si>
  <si>
    <t>Block: 10217 Lot: 30</t>
  </si>
  <si>
    <t>Andrew Loete, Esq.</t>
  </si>
  <si>
    <t>LOGS LEGAL GROUP LLP</t>
  </si>
  <si>
    <t>702777/2021</t>
  </si>
  <si>
    <t>WELLS FARGO BANK, N.A. vs. LOOF, DENIS I. ETAL</t>
  </si>
  <si>
    <t>DENIS I. LOOF</t>
  </si>
  <si>
    <t>OWEN S. LOOF</t>
  </si>
  <si>
    <t>341 Beach 88th Street, Rockaway Beach, NY 11693</t>
  </si>
  <si>
    <t>341 Beach 88th Street</t>
  </si>
  <si>
    <t>Block 16122 Lot 45</t>
  </si>
  <si>
    <t>723909/2022</t>
  </si>
  <si>
    <t>NYCTL 2021-A TRUST ET AL vs. JOSE DE LA ROSA</t>
  </si>
  <si>
    <t>NYCTL 2021-A TRUST AND THE BANK OF NEW YORK</t>
  </si>
  <si>
    <t>JOSE DE LA ROSA; WELL FARGO BANK, N.A.</t>
  </si>
  <si>
    <t>JOSE DE LA ROSA</t>
  </si>
  <si>
    <t>34-34 110th Street, Flushing, NY 11368</t>
  </si>
  <si>
    <t>34-34 110th Street</t>
  </si>
  <si>
    <t>Block 1753 Lot 29</t>
  </si>
  <si>
    <t>Richard J. Evans, Jr. Esq.</t>
  </si>
  <si>
    <t>PHILLIPS LYTLE LLP</t>
  </si>
  <si>
    <t>28 East Main Street, Rochester, NY 14614-1935</t>
  </si>
  <si>
    <t>(585) 758-2110</t>
  </si>
  <si>
    <t>702401/2019</t>
  </si>
  <si>
    <t>NYCTL 1998-2 TRUST vs. WARNER, ETAL</t>
  </si>
  <si>
    <t>NYCTL 1998-2 TRUST AND THE BANK OF NEW YORK MELLON</t>
  </si>
  <si>
    <t>IRIS P. WARNER A/K/A IRIS WARNER, DECEASED</t>
  </si>
  <si>
    <t>189-11 MANGIN AVENUE, SAINT ALBANS, NY 11412</t>
  </si>
  <si>
    <t>189-11 MANGIN AVENUE</t>
  </si>
  <si>
    <t>SAINT ALBANS</t>
  </si>
  <si>
    <t>Block 10438 and Lot 39</t>
  </si>
  <si>
    <t>28 East Main Street, Suite 1400, Rochester, NY 14614</t>
  </si>
  <si>
    <t>GREGORY J. NEWMAN, ESQ.</t>
  </si>
  <si>
    <t>711016/2016</t>
  </si>
  <si>
    <t>HSBC BANK USA, NATIONAL vs. RIVERA, GEORGE ETAL</t>
  </si>
  <si>
    <t>HSBC BANK USA, NATIONAL ASSOCIATION AS TRUSTEE FOR SG MORTGAGE SECURITIES TRUST 2006-FRE1</t>
  </si>
  <si>
    <t>GEORGE RIVERA</t>
  </si>
  <si>
    <t>25-53 Mcintosh Street, East Elmhurst, NY 11369</t>
  </si>
  <si>
    <t>25-53 Mcintosh Street</t>
  </si>
  <si>
    <t>BL#: 1651-40</t>
  </si>
  <si>
    <t>Joseph F. Defelice, Esq.</t>
  </si>
  <si>
    <t>710456/2017</t>
  </si>
  <si>
    <t>DEUTSCHE BANK NATIONAL TRUST vs. SCRUGGS, JACKIE ETAL</t>
  </si>
  <si>
    <t>JACKIE SCRUGGS A/K/A JACKIE PERRY</t>
  </si>
  <si>
    <t>DENISE SCRUGGS AS HEIR</t>
  </si>
  <si>
    <t>200-16 104th Avenue, Saint Albans, New York 11412</t>
  </si>
  <si>
    <t>200-16 104th Avenue</t>
  </si>
  <si>
    <t>Block 10896 Lot 7</t>
  </si>
  <si>
    <t>Matthew Vishnick, Esq.</t>
  </si>
  <si>
    <t>711940/2016</t>
  </si>
  <si>
    <t>THE JY 4 L.P. vs. 78-19 JAMAICA AVENUE LLC ETAL</t>
  </si>
  <si>
    <t>THE JY 4 L.P.</t>
  </si>
  <si>
    <t>78-19 JAMAICA AVENUE LLC, CRIMINAL COURT                   OF THE CITY OF NEW YORK (QUEENS)</t>
  </si>
  <si>
    <t>78-19 JAMAICA AVENUE LLC</t>
  </si>
  <si>
    <t>78-19 Jamaica Avenue, Woodhaven, NY 11421</t>
  </si>
  <si>
    <t>78-19 Jamaica Avenue</t>
  </si>
  <si>
    <t>Block 8842, Lot 147</t>
  </si>
  <si>
    <t>724645/2021</t>
  </si>
  <si>
    <t>US BANK TRUST NATIONAL ASSCOCIATION, vs. FOUCHE, FRANCOIS ETAL.</t>
  </si>
  <si>
    <t>FRANCOIS FOUCHE</t>
  </si>
  <si>
    <t>215-23 102nd Avenue, Queens Village, NY 11429</t>
  </si>
  <si>
    <t>215-23 102nd Avenue</t>
  </si>
  <si>
    <t>Block 11089 and Lot 46.</t>
  </si>
  <si>
    <t>Walter Drobenko, Esq.</t>
  </si>
  <si>
    <t>704319/2013</t>
  </si>
  <si>
    <t>U.S. BANK NATIONAL vs. CHARLES, JAMES P. ETAL</t>
  </si>
  <si>
    <t>US BANK NATIONAL ASSOCIATION</t>
  </si>
  <si>
    <t>JAMES P. CHARLES</t>
  </si>
  <si>
    <t>249 Beach 118th Street, Rockaway Park, NY 11694</t>
  </si>
  <si>
    <t>249 Beach 118th Street</t>
  </si>
  <si>
    <t>Rockaway Park</t>
  </si>
  <si>
    <t>Block: 16214 Lot: 12.</t>
  </si>
  <si>
    <t>Gregory M. Laspina, Esq.</t>
  </si>
  <si>
    <t>704718/2014</t>
  </si>
  <si>
    <t>FEDERAL NATIONAL MORTGAGE vs. BECKFORD, ROGER ETAL</t>
  </si>
  <si>
    <t>ROGER BECKFORD, PEGGY E. TULL</t>
  </si>
  <si>
    <t>ROGER BECKFORD</t>
  </si>
  <si>
    <t>PEGGY E. TULL</t>
  </si>
  <si>
    <t>10453 128TH ST SOUTH RICHMOND HILL, NY 11419</t>
  </si>
  <si>
    <t>10453 128TH ST</t>
  </si>
  <si>
    <t>Block: 9582 Lot(s): 60</t>
  </si>
  <si>
    <t>Regina Competiello, Esq</t>
  </si>
  <si>
    <t>ROSICKI ROSICKI &amp; ASSOCIATES, P.C.</t>
  </si>
  <si>
    <t>Main Office 51 E Bethpage Road, Plainview, NY 11803</t>
  </si>
  <si>
    <t>516-741-2585</t>
  </si>
  <si>
    <t>704312/2014</t>
  </si>
  <si>
    <t>U.S. BANK NATIONAL vs. CUENCAS, NYDIA ETAL</t>
  </si>
  <si>
    <t>NYDIA CUENCAS, LVNV FUNDING LLC A/P/O</t>
  </si>
  <si>
    <t>NYDIA CUENCAS</t>
  </si>
  <si>
    <t>588 ONDERDONK AVENUE RIDGEWOOD, NY 11385</t>
  </si>
  <si>
    <t>588 ONDERDONK AVENUE</t>
  </si>
  <si>
    <t>BLOCK 3438, LOT 39</t>
  </si>
  <si>
    <t>Sarah K.Haran Hyman, Esq.</t>
  </si>
  <si>
    <t>25 Northpointe Parkway, Suite 25, Amherst, NY 14228</t>
  </si>
  <si>
    <t>714898/2023</t>
  </si>
  <si>
    <t>U.S. Bank Trust National Association, vs. Naranjo, Jover et al</t>
  </si>
  <si>
    <t>U.S. Bank Trust National Association</t>
  </si>
  <si>
    <t>Jover Naranjo</t>
  </si>
  <si>
    <t>114-45 143rd Street, Jamaica, NY 11436</t>
  </si>
  <si>
    <t>114-45 143rd Street</t>
  </si>
  <si>
    <t>Block: 11973, Lot: 23</t>
  </si>
  <si>
    <t>Frenkel Lambert Weiss Weisman &amp; Gordon, LLP</t>
  </si>
  <si>
    <t>William D. Bowman, Esq.</t>
  </si>
  <si>
    <t>720795/2020</t>
  </si>
  <si>
    <t>NYCTL 2019-A TRUST AND vs. C.E. FLUSHING LLC</t>
  </si>
  <si>
    <t>NYCTL 1998-2 TRUST AND THE BANK OF NEW YORK MELLON, AS  COLLATERAL AGENT AND CUSTODIAN</t>
  </si>
  <si>
    <t>C.E. FLUSHING, LLC</t>
  </si>
  <si>
    <t>ROOSEVELT AVENUE, JACKSON HEIGHTS, NY 11372</t>
  </si>
  <si>
    <t>ROOSEVELT AVENUE</t>
  </si>
  <si>
    <t xml:space="preserve">Block 4963 and Lot 1 </t>
  </si>
  <si>
    <t>RICHARD PICCOLA, ESQ.</t>
  </si>
  <si>
    <t>727788/2021</t>
  </si>
  <si>
    <t>U.S. BANK TRUST NATIONAL ASSOCIATION vs. AGGARWAL, SHEELI et al</t>
  </si>
  <si>
    <t>SHEELI AGGARWAL, RAKESH AGGARWAL</t>
  </si>
  <si>
    <t>SHEELI AGGARWAL</t>
  </si>
  <si>
    <t>RAKESH AGGARWAL</t>
  </si>
  <si>
    <t>84-61 Abingdon Road, Kew Gardens, NY 11415</t>
  </si>
  <si>
    <t>84-61 ABINGDON ROAD</t>
  </si>
  <si>
    <t>KEW GARDENS</t>
  </si>
  <si>
    <t>Block: 3331 Lot: 43</t>
  </si>
  <si>
    <t>Mark K/Broyles, Esq.</t>
  </si>
  <si>
    <t>FEIN, SUCH &amp; CRANE, LLP</t>
  </si>
  <si>
    <t>28 East Main Street, Suite 1800, Rochester, New York 14614</t>
  </si>
  <si>
    <t>(585)232-7400</t>
  </si>
  <si>
    <t>700260/2021</t>
  </si>
  <si>
    <t>U.S. BANK NATIONAL ASSOCIATION vs. ZOILA JUNCTION, LLC et al</t>
  </si>
  <si>
    <t>ZOILA JUNCTION, LLC; ZOILA C. REYES</t>
  </si>
  <si>
    <t>ZOILA JUNCTION, LLC</t>
  </si>
  <si>
    <t>ZOILA C. REYES</t>
  </si>
  <si>
    <t>32-29 Junction Boulevard, East Elmhurst, New York 11369</t>
  </si>
  <si>
    <t>32-29 Junction Boulevard</t>
  </si>
  <si>
    <t>Block 1424 Lot 59</t>
  </si>
  <si>
    <t>McMichael Taylor Gray, LLC</t>
  </si>
  <si>
    <t>28 Corporate Drive, Suite 104, Halfmoon, NY 12065</t>
  </si>
  <si>
    <t>Helmut Borchert, Esq.</t>
  </si>
  <si>
    <t>715200/2016</t>
  </si>
  <si>
    <t>US BANK NATIONAL vs. CELESTIN, SCHELLA ETAL</t>
  </si>
  <si>
    <t>SCHELLA CELESTIN</t>
  </si>
  <si>
    <t>187-10 Pineville Lane, Springfield Gardens New York</t>
  </si>
  <si>
    <t>18710 PINEVILLE LN</t>
  </si>
  <si>
    <t>11413-1411</t>
  </si>
  <si>
    <t>Block: 12719 Lot: 19</t>
  </si>
  <si>
    <t>Kara N. Neal, Esq.</t>
  </si>
  <si>
    <t>80 Business Park Drive, Armonk, NY 10504</t>
  </si>
  <si>
    <t>705277/2024</t>
  </si>
  <si>
    <t>PNC BANK, N.A. vs. FIALLOS, GEORGETTE et al</t>
  </si>
  <si>
    <t>PNC BANK, Ν.Α.</t>
  </si>
  <si>
    <t>GEORGETTE FIALLOS, ELI FRIEDMAN</t>
  </si>
  <si>
    <t>GEORGETTE FIALLOS</t>
  </si>
  <si>
    <t>ELI FRIEDMAN</t>
  </si>
  <si>
    <t>86-17 121st Street, Richmond Hill, NY 11418</t>
  </si>
  <si>
    <t>86-17 121st Street</t>
  </si>
  <si>
    <t>Block 9275 Lot 75</t>
  </si>
  <si>
    <t>Gross Polowy LLC</t>
  </si>
  <si>
    <t>705362/2014</t>
  </si>
  <si>
    <t>RICHMOND 91ST LLC. vs. BSRV INC. ETAL</t>
  </si>
  <si>
    <t>RICHMOND 91ST LLC</t>
  </si>
  <si>
    <t>BSRV INC., REKHA RAMDAS</t>
  </si>
  <si>
    <t>BSRV INC.</t>
  </si>
  <si>
    <t>REKHA RAMDAS</t>
  </si>
  <si>
    <t>130-35 91st Avenue, Richmond Hill, New York 11418</t>
  </si>
  <si>
    <t>130-35 91st Avenue</t>
  </si>
  <si>
    <t>Block 9358, Lot 39</t>
  </si>
  <si>
    <t>Ruth Gursky, Esq.</t>
  </si>
  <si>
    <t>700415/2015</t>
  </si>
  <si>
    <t>WINDSOR PARK ASSET HOLDING TRUST vs. GOMES, JOSEPH ETAL</t>
  </si>
  <si>
    <t>WINDSOR PARK ASSET HOLDING C/O U.S. BANK TRUST NATIONAL ASSOCIATION</t>
  </si>
  <si>
    <t>JOSEPH GOMES</t>
  </si>
  <si>
    <t>111-32 170TH STREET, JAMAICA, NY 11433 and 111-30 170TH STREET, JAMAICA, NY 11433</t>
  </si>
  <si>
    <t>111-32 170TH STREET</t>
  </si>
  <si>
    <t>Block 10207 Lot 48 &amp; Block 10207 Lot 47</t>
  </si>
  <si>
    <t>Pincus &amp; Tarab</t>
  </si>
  <si>
    <t>AUSTIN I. IDEHEN, ESQ.</t>
  </si>
  <si>
    <t>715396/2020</t>
  </si>
  <si>
    <t>GREEN MOUNTAIN HOLDINGS (CAYMAN) LTD., vs. FREDERIKA MANAGEMENT ETAL</t>
  </si>
  <si>
    <t>GOLDEN BRIDGE, LLC</t>
  </si>
  <si>
    <t>FREDERIKA MANAGEMENT CORP.</t>
  </si>
  <si>
    <t>95-20 150th Street, Jamaica, NY 11435</t>
  </si>
  <si>
    <t>95-20 150th Street</t>
  </si>
  <si>
    <t>Block: 9679 Lot: 66</t>
  </si>
  <si>
    <t>Hasbani &amp; Light, P.C.</t>
  </si>
  <si>
    <t>450 7th Ave, Suite 1408, NY, NY 10123</t>
  </si>
  <si>
    <t>212.643.6677</t>
  </si>
  <si>
    <t>Linda A Mule, Esq.</t>
  </si>
  <si>
    <t>704135/2015</t>
  </si>
  <si>
    <t>THE BANK OF NEW YORK MELLON vs. DEFLORIMONTE, CARL</t>
  </si>
  <si>
    <t>THE BANK OF NEW YORK MELLON F/K/A THE BANK OF NEW YORK, AS TRUSTEE</t>
  </si>
  <si>
    <t>CARL DEFLORIMONTE, DERIDA DEFLORIMONTE</t>
  </si>
  <si>
    <t>CARL DEFLORIMONTE A/K/A CARL DELFLORIMONTE</t>
  </si>
  <si>
    <t xml:space="preserve"> DERIDA DELFLORIMONTE</t>
  </si>
  <si>
    <t>244-21 149TH AVENUE, ROSEDALE, NY 11422</t>
  </si>
  <si>
    <t>244-21 149TH AVENUE</t>
  </si>
  <si>
    <t>Block: 13750 Lot: 203</t>
  </si>
  <si>
    <t>DRUCKMAN LAW GROUP PLLC</t>
  </si>
  <si>
    <t>242 Drexel Avenue, Westbury, NY 11590</t>
  </si>
  <si>
    <t>HOWARD POLLACK, ESQ.</t>
  </si>
  <si>
    <t>719900/2022</t>
  </si>
  <si>
    <t>NYCTL 2021-A TRUST, and THE BANK OF NEW YORK MELLON vs. AVA ENTERPRISE, INC. et al</t>
  </si>
  <si>
    <t>NYCTL 2021-A TRUST</t>
  </si>
  <si>
    <t>AVA ENTERPRISE, INC. a/k/a AVA ENTERPRISES INC.</t>
  </si>
  <si>
    <t>122-32 Montauk Street, Springfield Gardens, NY 11413</t>
  </si>
  <si>
    <t>122-32 Montauk Street</t>
  </si>
  <si>
    <t>Block 12700 and Lot 28 formerly part of Lot 19</t>
  </si>
  <si>
    <t>Michael H. Resnikoff, Esq.</t>
  </si>
  <si>
    <t>BRONSTER LLP</t>
  </si>
  <si>
    <t>156 West 56th Street, Suite 902, New York, New York 10019</t>
  </si>
  <si>
    <t>(347) 246-4644</t>
  </si>
  <si>
    <t>702514/2015</t>
  </si>
  <si>
    <t>U.S. BANK NATIONAL vs. LING, SU ETAL</t>
  </si>
  <si>
    <t>SU LING A/K/A SU MEI LING</t>
  </si>
  <si>
    <t>86-20 56th Avenue, Elmhurst, NY 11373</t>
  </si>
  <si>
    <t>86-20 56th Avenue</t>
  </si>
  <si>
    <t>Block 2869 and Lot 8</t>
  </si>
  <si>
    <t>Eun Chong Thorsen, Esq.</t>
  </si>
  <si>
    <t>712849/2019</t>
  </si>
  <si>
    <t>DEUTSCHE BANK NATIONAL TRUST vs. THOMAS, GRANVILLE ETAL</t>
  </si>
  <si>
    <t>DEUTSCHE BANK NATIONAL TRUST COMPANY, AS</t>
  </si>
  <si>
    <t>GRANVILLE THOMAS; MAIZIE KENNEDY; JEAN METELLIUS; CLARK DESLOUCES; NEW YORK CITY ENVIRONMENTAL CONTROL BOARD; NEW YORK CITY TRANSIT ADJUDICATION BUREAU; NEW YORK CITY PARKNG VIOLATIONS BUREAU; NEW YORK STATE DEPARTMENT OF TAXATION AND FINANCE; QUEENS COUNTY CLERK; JOHN SMITH (NAME REFUSED)</t>
  </si>
  <si>
    <t>GRANVILLE THOMAS</t>
  </si>
  <si>
    <t>MAIZIE KENNEDY</t>
  </si>
  <si>
    <t>203-15 104TH STREET, SAINT ALBANS, NY 11412</t>
  </si>
  <si>
    <t>203-15 104TH STREET</t>
  </si>
  <si>
    <t>Mullle Calida</t>
  </si>
  <si>
    <t>KOSTERICH &amp; SKEETE, LLC</t>
  </si>
  <si>
    <t>707 Westchester Ave, Suite 302, White Plains, New York 10604</t>
  </si>
  <si>
    <t>914-395-0055</t>
  </si>
  <si>
    <t>DAVID I. WEPRIN, ESQ.</t>
  </si>
  <si>
    <t>719741/2021</t>
  </si>
  <si>
    <t>PHILLIP DEMAIOLO, AS PRES OF THE BD OF MANG OF ONE HUNTERS POINT CONDOMINIUM, vs. LEE, EDWARD et al</t>
  </si>
  <si>
    <t>PHILLIP DEMAILO</t>
  </si>
  <si>
    <t>EDWARD LEE, WELLS FARGO BANK, N.A., AND                JOHN DOE #1 THROUGH JOHN DOE # 10</t>
  </si>
  <si>
    <t>EDWARD LEE</t>
  </si>
  <si>
    <t>5-49 Borden Avenue, Long Island City, New York 11101</t>
  </si>
  <si>
    <t>5-49 Borden Avenue</t>
  </si>
  <si>
    <t>Long Island City</t>
  </si>
  <si>
    <t>Section: 1, Block: 34, Lot: 1092</t>
  </si>
  <si>
    <t>Mark L. Hankin, Esq.</t>
  </si>
  <si>
    <t>HANKIN &amp; MAZEL, PLLC</t>
  </si>
  <si>
    <t>60 Cutter Mill Road-Suite #505, Great Neck, New York 11021</t>
  </si>
  <si>
    <t>516.499.5800</t>
  </si>
  <si>
    <t>715567/2022</t>
  </si>
  <si>
    <t>U.S. BANK NATIONAL ASSOCIATION, vs. SOMWARU, PARBATTIE</t>
  </si>
  <si>
    <t>U.S. BANK NATIONAL ASSOCIATION, NOT IN ITS INDIVIDUAL CAPACITY BUT SOLELY AS TRUSTEE OF NRZ INVENTORY TRUST</t>
  </si>
  <si>
    <t>PARBATTIE SOMWARU</t>
  </si>
  <si>
    <t>181-15 NORTH CONDUIT AVENUE, JAMAICA, NY 11413</t>
  </si>
  <si>
    <t>181-15 NORTH CONDUIT AVENUE</t>
  </si>
  <si>
    <t>Block 13091, Lot 28</t>
  </si>
  <si>
    <t>Jennifer R. Brennan</t>
  </si>
  <si>
    <t>6901 Jericho Turnpike, Suite 240, Syosset, New York 11791</t>
  </si>
  <si>
    <t>701218/2015</t>
  </si>
  <si>
    <t>FEDERAL NATIONAL MORTGAGE vs. ONUOHA, ROSE ETAL</t>
  </si>
  <si>
    <t>Federal National Mortgage Association</t>
  </si>
  <si>
    <t>Rose Onuoha a/k/a Rose I. Onuoha</t>
  </si>
  <si>
    <t>240-18 141st Avenue, Rosedale, NY 11422</t>
  </si>
  <si>
    <t>240-18 141st                Avenue</t>
  </si>
  <si>
    <t>Block 13558 Lot 41</t>
  </si>
  <si>
    <t>175 Mile Crossing Boulevard,               Rochester, New York 14624</t>
  </si>
  <si>
    <t>724734/2021</t>
  </si>
  <si>
    <t>US BANK vs. GADSON, SANDRA ETAL.</t>
  </si>
  <si>
    <t>U.S. Bank, National Association, Successor trustee to Bank of America, N.A., as Successor to                 LaSalle Bank, N.A. as Trustee for Merrill Lynch First Franklin Mortgage Loan Trust, Mortgage                 Loan Trust, Mortgage Loan Asset-Backed Certificates, Series 2007-3</t>
  </si>
  <si>
    <t>Sandra Gadson; Michael Knott</t>
  </si>
  <si>
    <t>Sandra Gadson</t>
  </si>
  <si>
    <t>Michael Knott</t>
  </si>
  <si>
    <t>143-36 229th Street, Rosedale, NY 11413</t>
  </si>
  <si>
    <t>143-36 229th Street</t>
  </si>
  <si>
    <t>Block 13506 Lot 195</t>
  </si>
  <si>
    <t>Gregory M. LaSpina, Esq.</t>
  </si>
  <si>
    <t>713118/2021</t>
  </si>
  <si>
    <t>CREDIT SUISSE vs. TOVAR, JHONNATAN ETAL</t>
  </si>
  <si>
    <t>CREDIT SUISSE FIRST BOSTON MORTGAGE</t>
  </si>
  <si>
    <t>JHONNATAN TOVAR A/K/A JONATHAN TOVAR</t>
  </si>
  <si>
    <t>JHONNATAN TOVAR</t>
  </si>
  <si>
    <t>JONATHAN TOVAR</t>
  </si>
  <si>
    <t>134-52 234th St, Rosedale, NY 11422</t>
  </si>
  <si>
    <t>134-52 234th St</t>
  </si>
  <si>
    <t>Block 13161 Lot 3</t>
  </si>
  <si>
    <t>855-227-5072</t>
  </si>
  <si>
    <t>David Smoren, Esq.</t>
  </si>
  <si>
    <t>703783/2023</t>
  </si>
  <si>
    <t>PHH MORTGAGE CORPORATION, vs. ROWE, MARY L. et al</t>
  </si>
  <si>
    <t>MORTGAGE ASSETS MANAGEMENT, LLC</t>
  </si>
  <si>
    <t>MARY L. ROWE</t>
  </si>
  <si>
    <t>155-28 113th Avenue, Jamacia, NY 11433</t>
  </si>
  <si>
    <t>155-28 113th Avenue</t>
  </si>
  <si>
    <t>Jamacia</t>
  </si>
  <si>
    <t>Block 12172, Lot 46</t>
  </si>
  <si>
    <t>George J. Weissinger, Esq.</t>
  </si>
  <si>
    <t>Pincus Law Group, PLLC.</t>
  </si>
  <si>
    <t>516.699.8902</t>
  </si>
  <si>
    <t>703831/2021</t>
  </si>
  <si>
    <t>U.S. BANK TRUST NATIONAL ASSOCIATION, vs. THE HEIRS AT LARGE OF JEROME BRADLEY, DECEASED, ETAL</t>
  </si>
  <si>
    <t>GMAC MORTGAGE, LLC</t>
  </si>
  <si>
    <t>THE HEIRS AT LARGE OF JEROME BRADLEY, deceased, ANTHONY BRADLEY</t>
  </si>
  <si>
    <t>THE HEIRS AT LARGE OF JEROME BRADLEY, deceased</t>
  </si>
  <si>
    <t>ANTHONY BRADLEY</t>
  </si>
  <si>
    <t>119-48 193RD STREET, SAINT ALBANS, NY 11412</t>
  </si>
  <si>
    <t>119-48 193RD STREET</t>
  </si>
  <si>
    <t>Block 12648 in Tax Lot 30</t>
  </si>
  <si>
    <t>Mark K. Broyles, Esq.</t>
  </si>
  <si>
    <t>712088/2023</t>
  </si>
  <si>
    <t>Specialized Loan Servicing LLC vs. Heenan, John M. et al</t>
  </si>
  <si>
    <t>Specialized Loan Servicing LLC</t>
  </si>
  <si>
    <t>John M. Heenan; Mary C. Curran Heenan</t>
  </si>
  <si>
    <t>John M. Heenan</t>
  </si>
  <si>
    <t>Mary C. Curran Heenan</t>
  </si>
  <si>
    <t>62-54 83rd Street, Middle Village, NY 11379</t>
  </si>
  <si>
    <t>62-54 83rd Street</t>
  </si>
  <si>
    <t>Middle Village</t>
  </si>
  <si>
    <t>Block 2970 Lot 33</t>
  </si>
  <si>
    <t>Steven M. Palmer, Esq.</t>
  </si>
  <si>
    <t>717410/2019</t>
  </si>
  <si>
    <t>WELLS FARGO BANK, N.A. vs. BANKS, MICHAEL C. ETAL</t>
  </si>
  <si>
    <t>WELLS FARGO BANK, N.A. SUCCESSOR BY MERGER TO WACHOVIA MORTGAGE CORPORATION</t>
  </si>
  <si>
    <t>MICHAEL C. BANKS A/K/A MICHAEL BANKS</t>
  </si>
  <si>
    <t>MICHAEL C. BANKS</t>
  </si>
  <si>
    <t>MICHAEL BANKS</t>
  </si>
  <si>
    <t>144-45 SPRINGFIELD BOULEVARD, JAMAICA, NY 11413-3453</t>
  </si>
  <si>
    <t>144-45 SPRINGFIELD BOULEVARD</t>
  </si>
  <si>
    <t>11413-3453</t>
  </si>
  <si>
    <t>13490-22</t>
  </si>
  <si>
    <t>Lamont Ramsey Bailey, Esq.</t>
  </si>
  <si>
    <t>711903/2021</t>
  </si>
  <si>
    <t>US BANK NATIONAL ASSOCIATION vs. VAZQUEZ, ANA ETAL</t>
  </si>
  <si>
    <t>ANA VAZQUEZ</t>
  </si>
  <si>
    <t>32-28 86th St., Jackson Heights, NY 11372</t>
  </si>
  <si>
    <t>32-28 86th St.</t>
  </si>
  <si>
    <t>Jackson Heights</t>
  </si>
  <si>
    <t>Block 1415 and Lot 20.</t>
  </si>
  <si>
    <t>Avrohom Y. Gefen, Esq.</t>
  </si>
  <si>
    <t>714099/2024</t>
  </si>
  <si>
    <t>U.S. BANK NATIONAL ASSOCIATION, vs. WEIR, CARNETTA D. et al</t>
  </si>
  <si>
    <t>CARNETTA D. WEIR, VALERIE E. HINDS-WEIR</t>
  </si>
  <si>
    <t>CARNETTA D. WEIR</t>
  </si>
  <si>
    <t>VALERIE E. HINDS-WEIR</t>
  </si>
  <si>
    <t>115-55 122nd Street, South Ozone Park, NY 11420</t>
  </si>
  <si>
    <t>115-55 122nd Street</t>
  </si>
  <si>
    <t>Block 11666 Lot 39</t>
  </si>
  <si>
    <t>Yvette V. Dudley, Esq.</t>
  </si>
  <si>
    <t>702365/2015</t>
  </si>
  <si>
    <t>U.S. BANK NATIONAL ASSOCIATION, vs. JORGE, DAMERIS ETAL.</t>
  </si>
  <si>
    <t>U.S. Bank, National Association</t>
  </si>
  <si>
    <t>Dameris Jorge, Silvano Jorge</t>
  </si>
  <si>
    <t>Dameris Jorge</t>
  </si>
  <si>
    <t>Silvano Jorge</t>
  </si>
  <si>
    <t>119-10 18th Ave, College Point, NY 11356</t>
  </si>
  <si>
    <t>119-10 18th Ave</t>
  </si>
  <si>
    <t>College Point</t>
  </si>
  <si>
    <t>Block: 4081, Lot: 20</t>
  </si>
  <si>
    <t>Stephen D. Hans, Esq.</t>
  </si>
  <si>
    <t>716224/2020</t>
  </si>
  <si>
    <t>CITIBANK, N.A. AS TRUSTEE FOR CMLTI ASSET TRUST vs. PAGE, RANDY ETAL</t>
  </si>
  <si>
    <t>CITIBANK, N.A., AS TRUSTEE FOR CMLTI ASSET TRUST</t>
  </si>
  <si>
    <t>RANDY PAGE</t>
  </si>
  <si>
    <t>106-53 150th Street, Jamaica, NY 11435</t>
  </si>
  <si>
    <t>106-53 150th Street</t>
  </si>
  <si>
    <t>Block 10120 and Lot 2</t>
  </si>
  <si>
    <t>Frances Yetta Ruiz, Esq.</t>
  </si>
  <si>
    <t>717070/2021</t>
  </si>
  <si>
    <t>U.S. BANK NATIONAL ASSOCIATION vs. HASSAN, MOHAMMED ETAL</t>
  </si>
  <si>
    <t>MOHAMMED HASSAN</t>
  </si>
  <si>
    <t>126 20 89th Ave, Richmond Hill, NY 11418</t>
  </si>
  <si>
    <t>126 20 89th Ave</t>
  </si>
  <si>
    <t>Block: 09353 Lot: 0010</t>
  </si>
  <si>
    <t>500 Bausch &amp; Lomb Place,            Rochester, NY 14604</t>
  </si>
  <si>
    <t>David R. Ferguson, Esq.</t>
  </si>
  <si>
    <t>702061/2016</t>
  </si>
  <si>
    <t>THE BANK OF NEW YORK MELLON vs. GUTIERREZ, LUISA ETAL</t>
  </si>
  <si>
    <t>THE BANK OF NEW YORK MELLON CORPORATION</t>
  </si>
  <si>
    <t>LUISA GUTIERREZ A/K/A LUISA Z. GUTIERREZ</t>
  </si>
  <si>
    <t>2519 97th Street, East Elmhurst, New York 11369</t>
  </si>
  <si>
    <t>2519 97th Street</t>
  </si>
  <si>
    <t>Block 1371 Lot 81</t>
  </si>
  <si>
    <t>Guy R. Vitacco Jr., Esq.</t>
  </si>
  <si>
    <t>700149/2014</t>
  </si>
  <si>
    <t>WELLS FARGO BANK NATIONAL vs. FAYLOR, IMELDA ETAL</t>
  </si>
  <si>
    <t>WELLS FARGO BANK NATIONAL ASSOCIATION</t>
  </si>
  <si>
    <t>IMELDA FAYLOR</t>
  </si>
  <si>
    <t>30-20 Lewmay Road, Far Rockaway, NY 11691</t>
  </si>
  <si>
    <t>30-20 Lewmay Road</t>
  </si>
  <si>
    <t>Block: 15808 Lot: 62 F/K/A Block: 15808 Lot: P/O 58</t>
  </si>
  <si>
    <t>Gerard A. Geisweller, Esq.</t>
  </si>
  <si>
    <t>713905/2021</t>
  </si>
  <si>
    <t>Fiss, Deborah G vs. Pineda, Candida R</t>
  </si>
  <si>
    <t>DEBORAH G. FISS</t>
  </si>
  <si>
    <t>CANDIDA R. PINEDA</t>
  </si>
  <si>
    <t>1063 Jackson Avenue, Apt. 4G, Long Island City, New York 11101</t>
  </si>
  <si>
    <t>1063 Jackson Avenue, Apt. 4G</t>
  </si>
  <si>
    <t>Block 42, Lot 1018</t>
  </si>
  <si>
    <t>David Bolton, P.C.</t>
  </si>
  <si>
    <t>666 Old Country Road, Suite 509, Garden City, NY 11530</t>
  </si>
  <si>
    <t>516.222.0600</t>
  </si>
  <si>
    <t>728147/2021</t>
  </si>
  <si>
    <t>U.S. BANK TRUST NATIONAL ASSOCIATION vs. ROYSTER, KEYA as ADMINISTRATRIX</t>
  </si>
  <si>
    <t>KEYA ROYSTER</t>
  </si>
  <si>
    <t>69-32 Burchell Avenue a/k/a 6932 Burchell Avenue, Arverne, NY 11692</t>
  </si>
  <si>
    <t>69-32 Burchell Avenue a/k/a 6932 Burchell Avenue</t>
  </si>
  <si>
    <t>Block 16048 and Lot 45</t>
  </si>
  <si>
    <t>Michael F. Mongelli, II, Esq.</t>
  </si>
  <si>
    <t>713866/2017</t>
  </si>
  <si>
    <t>BAYVIEW LOAN SERVICING, LLC vs. RAMSAMMY, ANNA EULA ETAL</t>
  </si>
  <si>
    <t>BAYVIEW LOAN SERVICING, LLC,</t>
  </si>
  <si>
    <t>ANNA EUAL RAMSAMMY A/K/A ANNA RAMSAMMY, FLINT RAMSAMMY</t>
  </si>
  <si>
    <t>ANNA EUAL RAMSAMMY A/K/A ANNA RAMSAMMY</t>
  </si>
  <si>
    <t>FLINT RAMSAMMY</t>
  </si>
  <si>
    <t>179-24 137th Avenue a/k/a 17924 137th Avenue Springfield Gardens a/k/a Jamaica, NY 11434</t>
  </si>
  <si>
    <t>179-24 137th Avenue</t>
  </si>
  <si>
    <t>Block 13026 Lot 0060</t>
  </si>
  <si>
    <t>715654/2019</t>
  </si>
  <si>
    <t>CITIBANK, N.A. vs. AKPOTSUI, KAFUSE K. ETAL</t>
  </si>
  <si>
    <t>KAFUSE K. AKPOTSUI</t>
  </si>
  <si>
    <t>216 Beach 31st Street, Far Rockaway, NY 11691</t>
  </si>
  <si>
    <t>216 Beach 31st Street</t>
  </si>
  <si>
    <t>Block 15806 and Lot 33</t>
  </si>
  <si>
    <t>712459/2015</t>
  </si>
  <si>
    <t>U.S. BANK NATIONAL vs. ALIAHMAD, LIAQUAT</t>
  </si>
  <si>
    <t>Liaquat Aliahmad; Zaleena Aliahmad</t>
  </si>
  <si>
    <t>Liaquat Aliahmad</t>
  </si>
  <si>
    <t>Zaleena Aliahmad</t>
  </si>
  <si>
    <t>143-20 84th Drive a/k/a 14320 84th Drive, Jamaica, NY 11435</t>
  </si>
  <si>
    <t>143-20 84th                Drive a/k/a 14320 84th Drive</t>
  </si>
  <si>
    <t>Block 9723 Lot 170</t>
  </si>
  <si>
    <t>724499/2023</t>
  </si>
  <si>
    <t>Plaza Home Mortgage, Inc. vs. Sergeant, Yvonne et al</t>
  </si>
  <si>
    <t>PLAZA HOME MORTGAGE, INC.</t>
  </si>
  <si>
    <t>YVONNE SERGEANT; NEW YORK CITY ENVIRONMENTAL CONTROL BOARD</t>
  </si>
  <si>
    <t>YVONNE SERGEANT</t>
  </si>
  <si>
    <t>14743 230th Place, Springfield Gardens, NY 11413</t>
  </si>
  <si>
    <t>14743 230th Place</t>
  </si>
  <si>
    <t>Block: 13711 Lot: 54</t>
  </si>
  <si>
    <t>Melissa S. DiCerbo, Esq.</t>
  </si>
  <si>
    <t>725732/2021</t>
  </si>
  <si>
    <t>BANK OF AMERICA, NATIONAL vs. NEW YORK CITY ENVIRONMENTAL CONTROL BOARD</t>
  </si>
  <si>
    <t>Bank of America, National Association</t>
  </si>
  <si>
    <t>New York City Environmental Control Board</t>
  </si>
  <si>
    <t>4627 Overbrook Street, Little Neck, NY 11362</t>
  </si>
  <si>
    <t>4627 Overbrook Street</t>
  </si>
  <si>
    <t>Little Neck</t>
  </si>
  <si>
    <t>Block: 8205 Lot: 44</t>
  </si>
  <si>
    <t>Solomon Steiman, Esq.</t>
  </si>
  <si>
    <t>717053/2022</t>
  </si>
  <si>
    <t>NYCTL 2021-A TRUST, and THE BANK OF NEW YORK MELLON vs. LI, SHING KUNG et al</t>
  </si>
  <si>
    <t>SHING KUNG LI, YEE NOR TAM</t>
  </si>
  <si>
    <t>SHING KUNG LI</t>
  </si>
  <si>
    <t>YEE NOR TAM</t>
  </si>
  <si>
    <t>48-25 39th Street, Sunnyside, New York 11104</t>
  </si>
  <si>
    <t>48-25 39th Street</t>
  </si>
  <si>
    <t>Sunnyside</t>
  </si>
  <si>
    <t>Block 206 Lot 7</t>
  </si>
  <si>
    <t>347.246.4644</t>
  </si>
  <si>
    <t>710057/2021</t>
  </si>
  <si>
    <t>DLJ MORTGAGE CAPITAL, INC. vs. VASQUEZ, JOSE ETAL</t>
  </si>
  <si>
    <t>JOSE VASQUEZ</t>
  </si>
  <si>
    <t>9626 46th Ave, Corona, NY 11368</t>
  </si>
  <si>
    <t>9626 46th Ave</t>
  </si>
  <si>
    <t>Block 1622 Lot 8</t>
  </si>
  <si>
    <t>Alex Kadochnikov, Esq.</t>
  </si>
  <si>
    <t>704556/2018</t>
  </si>
  <si>
    <t>THE BANK OF NEW YORK MELLON vs. SAMUELS, AUSTIN ETAL</t>
  </si>
  <si>
    <t>THE BANK OF NEW YORK MELLON TRUST</t>
  </si>
  <si>
    <t>AUSTIN SAMUELS, VERNON R SAMUELS, VIOLET  SAMUELS, KAREN J SAMUELS, KEVIN R SAMUELS, MIDLAND FUNDING LLC DBA IN NEW YORK AS MIDLAND FUNDING OF DELAWARE LLC,  NEW YORK STATE DEPARTMENT OF TΑΧΑΤΙΟΝ           AND FINANCE, NEW YORK CITY PARKING           VIOLATIONS BUREAU, NEW YORK CITY TRANSIT           ADJUDICATION BUREAU</t>
  </si>
  <si>
    <t>AUSTIN SAMUELS</t>
  </si>
  <si>
    <t>VERNON R SAMUELS</t>
  </si>
  <si>
    <t>143-35 228TH STREET,ROSEDALE A/K/A SPRINGFIELD GARDENS A/K/A LAURELTON, NY 11413</t>
  </si>
  <si>
    <t>143-35 228TH STREET</t>
  </si>
  <si>
    <t>ROSEDALE</t>
  </si>
  <si>
    <t>Section: 5603 Block: 13506 Lot: 136</t>
  </si>
  <si>
    <t>Paul A. Wugman, Esq.</t>
  </si>
  <si>
    <t>914-219-5787</t>
  </si>
  <si>
    <t>703761/2015</t>
  </si>
  <si>
    <t>NYCTL 1998-2 TRUST ANO vs. ANGELDOCS INC. ETAL</t>
  </si>
  <si>
    <t>ANGELDOCS INC.</t>
  </si>
  <si>
    <t>195-39 Hillside Avenue, Holliswood, NY 11423</t>
  </si>
  <si>
    <t>195-39 Hillside Avenue</t>
  </si>
  <si>
    <t>Holliswood</t>
  </si>
  <si>
    <t>Block 10509 and Lot 280.</t>
  </si>
  <si>
    <t>Bronster, LLP</t>
  </si>
  <si>
    <t>156 West 56th Street, Suite 703, New York, New York 10019</t>
  </si>
  <si>
    <t>Eric Subin, Esq.</t>
  </si>
  <si>
    <t>703324/2019</t>
  </si>
  <si>
    <t>PALM AVENUE HIALEAH TRUST vs. WASHINGTON, CHRISTINE ETAL</t>
  </si>
  <si>
    <t>PALM AVENUE HIALEAH TRUST</t>
  </si>
  <si>
    <t>CHRISTINE WASHINGTON</t>
  </si>
  <si>
    <t>112-05 203rd Street, Saint Albans, NY 11412</t>
  </si>
  <si>
    <t>112-05 203rd Street</t>
  </si>
  <si>
    <t>Block 10979, Lot 21</t>
  </si>
  <si>
    <t>Ross Eisenberg Law PLLC</t>
  </si>
  <si>
    <t>445 Central Ave. Suite 112, Cedarhurst N.Y. 11516</t>
  </si>
  <si>
    <t>Milene Mansouri, Esq.</t>
  </si>
  <si>
    <t>707834/2022</t>
  </si>
  <si>
    <t>Grande Prezzo LLC vs. R and K-3 Realty 2016 LLC et al</t>
  </si>
  <si>
    <t>GRANDE PREZZO, LLC</t>
  </si>
  <si>
    <t>R and K-3 REALTY 2016</t>
  </si>
  <si>
    <t>Mr. Rodriguez</t>
  </si>
  <si>
    <t>96-16 91st Dr., Woodhaven, NY 11421</t>
  </si>
  <si>
    <t>96-16 914st Dr.</t>
  </si>
  <si>
    <t>Block 8993, Lot 60</t>
  </si>
  <si>
    <t>GRANT PUDALOV, PC</t>
  </si>
  <si>
    <t>300 Garden City Plaza, Ste. 444, Garden City, NY 11530</t>
  </si>
  <si>
    <t>NICHOLAS PERCIBALLI, Esq.</t>
  </si>
  <si>
    <t>703330/2018</t>
  </si>
  <si>
    <t>JPMORGAN CHASE BANK vs. YAKCUB, MOHAMED A. ETAL</t>
  </si>
  <si>
    <t>Mohamed A. Yakcub a/k/a Mohamed Yakcub; Sheila Goolcharan</t>
  </si>
  <si>
    <t>Mohamed A. Yakcub a/k/a Mohamed Yakcub a/k/a Mohamed A. Yakub</t>
  </si>
  <si>
    <t>Sheila Goolcharan</t>
  </si>
  <si>
    <t>104-50 104th Street, Ozone Park, NY 11417</t>
  </si>
  <si>
    <t>104-50 104th Street</t>
  </si>
  <si>
    <t>Block: 9526 Lot: 31</t>
  </si>
  <si>
    <t>Irene Mattone, Esq.</t>
  </si>
  <si>
    <t>719346/2018</t>
  </si>
  <si>
    <t>U.S. BANK NATIONAL vs. BARTON, PAMELA ETAL</t>
  </si>
  <si>
    <t>PAMELA BARTON, YVETTE BARTON, BETTY HARRIS</t>
  </si>
  <si>
    <t>PAMELA BARTON</t>
  </si>
  <si>
    <t>YVETTE BARTON</t>
  </si>
  <si>
    <t>104-02 214Th Street, Queens, NY</t>
  </si>
  <si>
    <t>104-02 214Th Street</t>
  </si>
  <si>
    <t>Block 11098 Lot 53</t>
  </si>
  <si>
    <t>October 9 2012</t>
  </si>
  <si>
    <t>Daniel E. Brickley, Esq.</t>
  </si>
  <si>
    <t>706830/2019</t>
  </si>
  <si>
    <t>NYCTL 1998-2 TRUST vs. 3333 98 GROUP CORP. ETAL</t>
  </si>
  <si>
    <t>3333 98 GROUP CORP.; KENNETH D. MARTIN</t>
  </si>
  <si>
    <t>3333 98 GROUP CORP.</t>
  </si>
  <si>
    <t>KENNETH D. MARTIN</t>
  </si>
  <si>
    <t>33-33 98th Street, Corona, NY 11368</t>
  </si>
  <si>
    <t>33-33 98th Street</t>
  </si>
  <si>
    <t>Block             1713 and Lot 51</t>
  </si>
  <si>
    <t>724025/2023</t>
  </si>
  <si>
    <t>Carrington Mortgage Services, LLC vs. Ali Sabel, Fakhreldin E. et al</t>
  </si>
  <si>
    <t>Carrington Mortgage Services, LLC</t>
  </si>
  <si>
    <t>Fakhreldin E. Ali Sabel</t>
  </si>
  <si>
    <t>119-20 193rd Street, Saint Albans, NY 11412</t>
  </si>
  <si>
    <t>119-20 193rd Street</t>
  </si>
  <si>
    <t>Block 12648 Lot 16</t>
  </si>
  <si>
    <t>706393/2014</t>
  </si>
  <si>
    <t>HSBC BANK USA, NATIONAL vs. CASTRO, ENRIQUE ETAL.</t>
  </si>
  <si>
    <t>ENRIQUE CASTRO, BETTY CELLERI</t>
  </si>
  <si>
    <t>ENRIQUE CASTRO</t>
  </si>
  <si>
    <t>BETTY CELLERI</t>
  </si>
  <si>
    <t>104-28 42ND AVENUE, CORONA, NY 11368</t>
  </si>
  <si>
    <t>104-28 42ND AVENUE</t>
  </si>
  <si>
    <t>BLOCK 1986 LOT 10</t>
  </si>
  <si>
    <t>Nicholas J. Ferrar, Esq.</t>
  </si>
  <si>
    <t>719573/2019</t>
  </si>
  <si>
    <t>U.S. BANK NATIONAL vs. GUILLEN, JOSE ETAL</t>
  </si>
  <si>
    <t>JOSE GUILLEN</t>
  </si>
  <si>
    <t>174-11 POLHEMAS AVENUE, JAMAICA, NEW YORK 11433</t>
  </si>
  <si>
    <t>174-11 POLHEMAS AVENUE</t>
  </si>
  <si>
    <t>Block 10243, Lot 91</t>
  </si>
  <si>
    <t>SARA BORISKIN, ESQ.</t>
  </si>
  <si>
    <t>705738/2016</t>
  </si>
  <si>
    <t>CITIBANK N.A. vs. SINGH, PRAHALAD ETAL</t>
  </si>
  <si>
    <t>CITIBANK N.A.</t>
  </si>
  <si>
    <t>PRAHALAD SINGH</t>
  </si>
  <si>
    <t>9302 202nd St, Hollis, NY 11423</t>
  </si>
  <si>
    <t>9302 202nd St</t>
  </si>
  <si>
    <t>Davidson Fink LLP</t>
  </si>
  <si>
    <t>400 Meridian Centre Blvd, Ste 200, Rochester, NY 14618</t>
  </si>
  <si>
    <t>Lamont R. Bailey, Esq.</t>
  </si>
  <si>
    <t>705214/2017</t>
  </si>
  <si>
    <t>WILMINGTON SAVINGS FUND vs. RODRIGUEZ, PARBOTTIE ETAL</t>
  </si>
  <si>
    <t>PARBOTTIE RODRIGUEZ</t>
  </si>
  <si>
    <t>115-36 122nd Street, South Ozone Park, NY 11420</t>
  </si>
  <si>
    <t>115-36 122nd Street</t>
  </si>
  <si>
    <t>Block 11665 and Lot 24</t>
  </si>
  <si>
    <t>Brandi P. Klineberg, Esq.</t>
  </si>
  <si>
    <t>720792/2019</t>
  </si>
  <si>
    <t>EMIGRANT BANK SUCCESSOR vs. BECKFORD, CLAUDE ETAL</t>
  </si>
  <si>
    <t>EMIGRANT BANK AS SUCCESSOR-BY-MERGER TO EMIGRANT SAVINGS BANK</t>
  </si>
  <si>
    <t>CLAUDE BECKFORD</t>
  </si>
  <si>
    <t>116-38 194th Street, Saint Albans, NY 11412</t>
  </si>
  <si>
    <t>116-38 194th Street</t>
  </si>
  <si>
    <t>Block 11064 and  Lot 78</t>
  </si>
  <si>
    <t>Borchert &amp; LaSpina, P.C.</t>
  </si>
  <si>
    <t>19-02 Whitestone Expressway, Suite 302, Whitestone, New York 11357</t>
  </si>
  <si>
    <t>Nicholas Perciballi, Esq.</t>
  </si>
  <si>
    <t>721080/2023</t>
  </si>
  <si>
    <t>U.S. Bank National Association, as Trustee, vs. Dixon-Chavannes, Beverley et al</t>
  </si>
  <si>
    <t>Beverley Dixon-Chavannes</t>
  </si>
  <si>
    <t>Beverley Dixon-Chavannes a/k/a Beverly Chavannes a/k/a Beverley Dixon</t>
  </si>
  <si>
    <t>Thomas J. Chavannes a/k/a Thomas Chavannes</t>
  </si>
  <si>
    <t>137-44 Belknap Street a/k/a 13744 Belknap Street, Springfield Gardens, NY 11413</t>
  </si>
  <si>
    <t>137-44 Belknap Street</t>
  </si>
  <si>
    <t>Block: 13026 Lot: 47</t>
  </si>
  <si>
    <t>V. Melarie Rajaphoumy, Esq.</t>
  </si>
  <si>
    <t>585.247.9000</t>
  </si>
  <si>
    <t>704949/2013</t>
  </si>
  <si>
    <t>US BANK NATIONAL vs. HAYES, ULYN ETAL</t>
  </si>
  <si>
    <t>ULYN HAYES</t>
  </si>
  <si>
    <t>187-13 TIOGA DRIVE, SAINT ALBANS, NY 11412</t>
  </si>
  <si>
    <t>187-13 TIOGA DRIVE</t>
  </si>
  <si>
    <t>10399-7</t>
  </si>
  <si>
    <t>704883/2024</t>
  </si>
  <si>
    <t>ROCKET MORTGAGE, LLC F/K/A QUICKEN LOANS, LLC vs. COHEN, BRENDA et al</t>
  </si>
  <si>
    <t>ROCKET MORTGAGE, LLC F/K/A</t>
  </si>
  <si>
    <t>BRENDA COHEN FKA BRENDA C. ALEXANDER</t>
  </si>
  <si>
    <t>110-22 223rd Street, Queens Village, NY 11429</t>
  </si>
  <si>
    <t>110-22 223rd Street</t>
  </si>
  <si>
    <t>Block 11203 and Lot 42</t>
  </si>
  <si>
    <t>Jonathan W Jacobs, Esq.</t>
  </si>
  <si>
    <t>721048/2022</t>
  </si>
  <si>
    <t>DEUTSCHE BANK NATIONAL TRUST COMPANY vs. VERGARA, JOSE et al</t>
  </si>
  <si>
    <t>DEUTSCHE BANK NATIONAL TRUST COMPANY, AS TRUSTEE FOR ARGENT SECURITIES INC., ASSET-BACKED PASS-THROUGH CERTIFICATES, SERIES 2005-W4</t>
  </si>
  <si>
    <t>JOSE VERGARA; YUDELKIS VERGARA</t>
  </si>
  <si>
    <t>JOSE VERGARA</t>
  </si>
  <si>
    <t>YUDELKIS VERGARA</t>
  </si>
  <si>
    <t>7612 164TH STREET, FRESH MEADOWS, NEW YORK 11366</t>
  </si>
  <si>
    <t>7612 164TH STREET</t>
  </si>
  <si>
    <t>FRESH MEADOWS</t>
  </si>
  <si>
    <t>Block 6847, Lot 24</t>
  </si>
  <si>
    <t>ANNETTE SHACHTER, ESQ.</t>
  </si>
  <si>
    <t>703285/2025</t>
  </si>
  <si>
    <t>CITIMORTGAGE, INC. vs. AMANDAZI, BIRUNGI ETAL.</t>
  </si>
  <si>
    <t>BIRUNGI AMANDAZI, EVERMOND AMANDAZI</t>
  </si>
  <si>
    <t>BIRUNGI AMANDAZI</t>
  </si>
  <si>
    <t>EVERMOND AMANDAZI</t>
  </si>
  <si>
    <t>133-62 AKA 133-56 HOOK CREEK BOULEVARD, ROSEDALE, NY 11422</t>
  </si>
  <si>
    <t>133-62 ΑΚΑ 133-56 HOOK CREEK BOULEVARD</t>
  </si>
  <si>
    <t>Block: 13210 Lot: 6</t>
  </si>
  <si>
    <t>NICHOLAS E. PERCIBALLI, ESQ.</t>
  </si>
  <si>
    <t>708186/2018</t>
  </si>
  <si>
    <t>FEDERAL NATIONAL MORTGAGE vs. 4721 DITMARS BLVD LLC ETAL</t>
  </si>
  <si>
    <t>FEDERAL NATIONAL MORTGAGE ASSOCIATION (‘FANNIE MAE’)</t>
  </si>
  <si>
    <t>4721 DITMARS BLVD LLC</t>
  </si>
  <si>
    <t>4721 DITMARS BOULEVARD ASTORIA, NY 11105</t>
  </si>
  <si>
    <t>4721 DITMARS BOULEVARD</t>
  </si>
  <si>
    <t>BLOCK 761, LOT 69</t>
  </si>
  <si>
    <t>Sarah K Hyman, Esq</t>
  </si>
  <si>
    <t>714708/2019</t>
  </si>
  <si>
    <t>VELOCITY COMMERCIAL CAPITAL, vs. 3128 28 ROAD, LLC ETAL</t>
  </si>
  <si>
    <t>VELOCITY COMMERCIAL CAPITAL LLC</t>
  </si>
  <si>
    <t>SPIRO ANTZOULATOS</t>
  </si>
  <si>
    <t>3128 28 ROAD LLC</t>
  </si>
  <si>
    <t>31-28 28th Road, Astoria, NY 11102</t>
  </si>
  <si>
    <t>31-28 28th Road</t>
  </si>
  <si>
    <t>Block 619 Lot 37</t>
  </si>
  <si>
    <t>Lawrence M. Litwack, Esq.</t>
  </si>
  <si>
    <t>717957/2020</t>
  </si>
  <si>
    <t>DLJ MORTGAGE vs. CHOWDHURY, DON ETAL</t>
  </si>
  <si>
    <t>Wilmington Savings Fund Society, FSB, as trustee of</t>
  </si>
  <si>
    <t>Don Chowdhury, Shamimara Chowdhury</t>
  </si>
  <si>
    <t>Don Chowdhury</t>
  </si>
  <si>
    <t>Shamimara Chowdhury</t>
  </si>
  <si>
    <t>48-27 Francis Lewis Boulevard, Oakland Gardens, NY 11364</t>
  </si>
  <si>
    <t>48-27 Francis Lewis Boulevard</t>
  </si>
  <si>
    <t>Oakland Gardens</t>
  </si>
  <si>
    <t>Block 7359 Lot 41</t>
  </si>
  <si>
    <t>Fearonce G. Lalande, Esq.</t>
  </si>
  <si>
    <t>708246/2023</t>
  </si>
  <si>
    <t>ARCPE 1 LLC vs. Joseph, Vite et al</t>
  </si>
  <si>
    <t>ARCPE 1 LLC</t>
  </si>
  <si>
    <t>VITE JOSEPH</t>
  </si>
  <si>
    <t>241-11 149th Street, Rosedale, New York 11422</t>
  </si>
  <si>
    <t>241-11 149th Street</t>
  </si>
  <si>
    <t>Block 13749 and Lot 78</t>
  </si>
  <si>
    <t>Ross Eisenberg, Esq.</t>
  </si>
  <si>
    <t>ROSS EISENBERG LAW PLLC</t>
  </si>
  <si>
    <t>445 Central Ave. Suite 112, Cedarhurst, N.Y. 11516</t>
  </si>
  <si>
    <t>(516) 828-5122</t>
  </si>
  <si>
    <t>709260/2017</t>
  </si>
  <si>
    <t>CIT BANK, N.A. vs. HEADLEY, GEORGE ETAL.</t>
  </si>
  <si>
    <t>BANK OF NEW YORK MELLON TRUST</t>
  </si>
  <si>
    <t>GEORGE HEADLEY</t>
  </si>
  <si>
    <t>114-58 204TH STREET, SAINT ALBANS, NY 11412</t>
  </si>
  <si>
    <t>114-58 204TH STREE</t>
  </si>
  <si>
    <t>11020-73</t>
  </si>
  <si>
    <t>709224/2023</t>
  </si>
  <si>
    <t>BANK OF AMERICA, N.A. vs. Walker, Sandra et al</t>
  </si>
  <si>
    <t>Bank of America, N.A</t>
  </si>
  <si>
    <t>Sandra Walker</t>
  </si>
  <si>
    <t>195 Beach 26th Street, Far Rockaway, NY 11691</t>
  </si>
  <si>
    <t>195 Beach 26th Street</t>
  </si>
  <si>
    <t>Block: 15818, Lot: 137</t>
  </si>
  <si>
    <t>Guy R. Vitacco, Jr., Esq.</t>
  </si>
  <si>
    <t>723237/2021</t>
  </si>
  <si>
    <t>CITIMORTGAGE, INC vs. PEREZ, JOSE A. ETAL</t>
  </si>
  <si>
    <t>JOSE A. PEREZ, ELEVID PEREZ, EUFEMIO PEREZ</t>
  </si>
  <si>
    <t>JOSE A. PEREZ</t>
  </si>
  <si>
    <t>ELEVID PEREZ</t>
  </si>
  <si>
    <t>3217 106TH STREET, EAST ELMHURST, NY</t>
  </si>
  <si>
    <t>3217 106TH STREET</t>
  </si>
  <si>
    <t>Block: 1701 Lot: 102</t>
  </si>
  <si>
    <t>Frank A. Morrone, Esq</t>
  </si>
  <si>
    <t>LAWRENCE M. LITWACK, ESQ.</t>
  </si>
  <si>
    <t>709090/2015</t>
  </si>
  <si>
    <t>PNC BANK NATIONAL ASSOCIATION vs. RAMCHARRAN, MAHADEO</t>
  </si>
  <si>
    <t>PNC BANK, NATIONAL ASSOCIATION</t>
  </si>
  <si>
    <t>MAHADEO RAMCHARRAN, DEOMATTIE RAMCHARRAN, NANDA PERSAUD</t>
  </si>
  <si>
    <t>MAHADEO RAMCHARRAN</t>
  </si>
  <si>
    <t>DEOMATTIE RAMCHARRAN</t>
  </si>
  <si>
    <t>123-01 109th Street, South Ozone Park, NY 11420</t>
  </si>
  <si>
    <t>123-01 109th Street</t>
  </si>
  <si>
    <t>Block: 9603 Lot: 42</t>
  </si>
  <si>
    <t>723145/2023</t>
  </si>
  <si>
    <t>DEUTSCHE BANK NATIONAL TRUST COMPANY vs. JEFFRIES, DAVID B. et al</t>
  </si>
  <si>
    <t>DAVID B. JEFFRIES, PAULA SIMON JEFFRIES</t>
  </si>
  <si>
    <t>DAVID B. JEFFRIES</t>
  </si>
  <si>
    <t>PAULA SIMON JEFFRIES</t>
  </si>
  <si>
    <t>132-51 159th Street, Jamaica, NY 11434</t>
  </si>
  <si>
    <t>132-51 159th Street</t>
  </si>
  <si>
    <t>Block 12285 Lot 44</t>
  </si>
  <si>
    <t>Gabrielle Costa, Esq.</t>
  </si>
  <si>
    <t>ALDRIDGE PITE, LLP</t>
  </si>
  <si>
    <t>708206/2023</t>
  </si>
  <si>
    <t>U.S. BANK TRUST NATIONAL ASSOCIATION vs. PEREZ, JOSE A. et al</t>
  </si>
  <si>
    <t>70-46 67th Street, Glendale, NY 11385</t>
  </si>
  <si>
    <t>70-46 67th Street</t>
  </si>
  <si>
    <t>Glendale</t>
  </si>
  <si>
    <t>Block 3649 and Lot 25</t>
  </si>
  <si>
    <t>Elizabeth Gill, Esq.</t>
  </si>
  <si>
    <t>705844/2023</t>
  </si>
  <si>
    <t>MIDFIRST BANK vs. GREEN, TRAVIS et al</t>
  </si>
  <si>
    <t>TRAVIS GREEN</t>
  </si>
  <si>
    <t>620 Beach 69th Street, Arverne, NY 11692</t>
  </si>
  <si>
    <t>620 Beach 69th Street</t>
  </si>
  <si>
    <t>BL#: 16029-111</t>
  </si>
  <si>
    <t>Carolyn Salian Clyne, Esq.</t>
  </si>
  <si>
    <t>721434/2019</t>
  </si>
  <si>
    <t>NATIONSTAR MORTGAGE LLC, vs. RADKAHZ INC et al</t>
  </si>
  <si>
    <t>RUSHMORE LOAN MANAGEMENT SERVICES LLC</t>
  </si>
  <si>
    <t>Radkahz Inc.; Yonagie Yonagie</t>
  </si>
  <si>
    <t>Radkahz Inc.</t>
  </si>
  <si>
    <t>Yonagie Yonagie</t>
  </si>
  <si>
    <t>105-32 130th Street, South Richmond Hill, New York 11419</t>
  </si>
  <si>
    <t>105-32 130th Street</t>
  </si>
  <si>
    <t>Block 9583 and Lot 27</t>
  </si>
  <si>
    <t>Richard F. Komosiński, Esq.</t>
  </si>
  <si>
    <t>914.345.3020</t>
  </si>
  <si>
    <t>715482/2023</t>
  </si>
  <si>
    <t>DEUTSCHE BANK NATIONAL TRUST COMPANY vs. SINGH, DEORANI NIRVANA et al</t>
  </si>
  <si>
    <t>DEUTSCHE BANK NATIONAL TRUST COMPANY AS TRUSTEE</t>
  </si>
  <si>
    <t>DEORANI NIRVANA SINGH; NADIRA N. ELLANA</t>
  </si>
  <si>
    <t>DEORANI NIRVANA SINGH</t>
  </si>
  <si>
    <t>NADIRA N. ELLANA</t>
  </si>
  <si>
    <t>115-25 115TH STREET, SOUTH OZONE PARK, NEW YORK 11420</t>
  </si>
  <si>
    <t>115-25 115TH STREET</t>
  </si>
  <si>
    <t>Block 11708, Lot 25</t>
  </si>
  <si>
    <t>SARAZ. BORISKIN, ESQ.</t>
  </si>
  <si>
    <t>Robertson, Anschutz Schneid, Crane &amp; Partners PLLC</t>
  </si>
  <si>
    <t>704037/2024</t>
  </si>
  <si>
    <t>SELECT PORTFOLIO SERVICING, INC., vs. YANG, RON LE et al</t>
  </si>
  <si>
    <t>SELECT PORTFOLIO SERVICING, INC.</t>
  </si>
  <si>
    <t>RON LE YANG; SUSTAINABLE NEIGHBORHOODS, LLC</t>
  </si>
  <si>
    <t>RON LE YANG</t>
  </si>
  <si>
    <t>7307 196TH STREET, FRESH MEADOWS, NEW YORK 11366</t>
  </si>
  <si>
    <t>7307 196TH STREET</t>
  </si>
  <si>
    <t>Block 7183, Lot 78</t>
  </si>
  <si>
    <t>SCOTT R. WEISS, ESQ.</t>
  </si>
  <si>
    <t>704149/2018</t>
  </si>
  <si>
    <t>WELLS FARGO BANK, N.A., vs. GARLAND, DARREN</t>
  </si>
  <si>
    <t>DARREN GARLAND</t>
  </si>
  <si>
    <t>11129 196th Street, Saint Albans, NY 11412</t>
  </si>
  <si>
    <t>11129 196th Street</t>
  </si>
  <si>
    <t>Block 10954, Lot 37</t>
  </si>
  <si>
    <t>MARGOLIN, WEINREB &amp; NIERER, LLP</t>
  </si>
  <si>
    <t>165 Eileen Way, Ste. 101, Syosset, NY 11791</t>
  </si>
  <si>
    <t>KRISTEN JEAN DUBOWSKI, Esq.</t>
  </si>
  <si>
    <t>702948/2021</t>
  </si>
  <si>
    <t>U.S. BANK NATIONAL ASSOCIATION vs. PEREZ, KELVIN ETAL.</t>
  </si>
  <si>
    <t>U.S. BANK NATIONAL ASSOCIATION, NOT IN ITS INDIVIDUAL CAPACITY BUT SOLELY AS TRUSTEE FOR THE RMAC TRUST, SERIES 2016-CTT</t>
  </si>
  <si>
    <t>KELVIN PEREZ</t>
  </si>
  <si>
    <t>152-01 134th Avenue, Jamaica, NY 11434</t>
  </si>
  <si>
    <t>152-01 134th Avenue</t>
  </si>
  <si>
    <t>Block 12128 Lot 117</t>
  </si>
  <si>
    <t>Janet L. Brown, Esq.</t>
  </si>
  <si>
    <t>715043/2020</t>
  </si>
  <si>
    <t>DEUTSCHE BANK NATIONAL TRUST vs. WISE, HAROLD SR ETAL</t>
  </si>
  <si>
    <t>HAROLD WISE SR, LAWANZA WISE</t>
  </si>
  <si>
    <t>HAROLD WISE SR</t>
  </si>
  <si>
    <t>LAWANZA WISE</t>
  </si>
  <si>
    <t>116-40 203rd Street, Saint Albans, NY 11412</t>
  </si>
  <si>
    <t>116-40 203rd Street</t>
  </si>
  <si>
    <t>Block 11074 and Lot 76</t>
  </si>
  <si>
    <t>David H. Meyrowitz/Esq.</t>
  </si>
  <si>
    <t>SIMON MEYROWITZ &amp; MEYROWITZ, P.C.</t>
  </si>
  <si>
    <t>355 Lexington Avenue, Suite 401, New York, New York 10017</t>
  </si>
  <si>
    <t>(212) 686-3300</t>
  </si>
  <si>
    <t>710484/2016</t>
  </si>
  <si>
    <t>THE BANK OF NEW YORK MELLON vs. WHITE, VERONICA ETAL</t>
  </si>
  <si>
    <t>THE BANK OF NEW YORK MELLON, F/K/A THE BANK OF NEW YORK, AS SUCCESSOR TRUSTEE TO JPMORGAN CHASE BANK, N.A. AS TRUSTEE FOR THE CERTIFICATE HOLDERS OF CDC MORTGAGE CAPITAL TRUST 2004-HE3, MORTGAGE PASS-THROUGH CERTIFICATES, SERIES 2004-HE3</t>
  </si>
  <si>
    <t>VERONICA WHITE, RUPERT S. WHITE</t>
  </si>
  <si>
    <t>VERONICA WHITE</t>
  </si>
  <si>
    <t>RUPERT S. WHITE</t>
  </si>
  <si>
    <t>241-41 148th Drive, Rosedale, NY 11422</t>
  </si>
  <si>
    <t>241-41 148th Drive</t>
  </si>
  <si>
    <t>Block 13748, Lot 50</t>
  </si>
  <si>
    <t>Bradley Michael McGlynn, Esq.</t>
  </si>
  <si>
    <t>705108/2024</t>
  </si>
  <si>
    <t>U.S. BANK TRUST NATIONAL ASSOCIATION vs. Masso, Piedad S. et al</t>
  </si>
  <si>
    <t>U.S. BANK TRUST NATIONAL</t>
  </si>
  <si>
    <t>PIEDAD S. MASSO</t>
  </si>
  <si>
    <t>25-65 125th Street, Flushing, New York 11354</t>
  </si>
  <si>
    <t>25-65 125th Street</t>
  </si>
  <si>
    <t>Block 4266 and Lot 69</t>
  </si>
  <si>
    <t>Avinash P. Chokshi, Esq.</t>
  </si>
  <si>
    <t>FRIEDMAN VARTOLO LLP</t>
  </si>
  <si>
    <t>1325 Franklin Avenue, Suite 160, Garden City, NY 11530</t>
  </si>
  <si>
    <t>(212) 471-5100</t>
  </si>
  <si>
    <t>705106/2024</t>
  </si>
  <si>
    <t>U.S. BANK TRUST COMPANY, NATIONAL ASSOCIATION, vs. 5S CONSTRUCTION, INC. et al</t>
  </si>
  <si>
    <t>U.S. BANK TRUST COMPANY, NATIONAL</t>
  </si>
  <si>
    <t>5S CONSTRUCTION, INC.; SHAZAD BAKHSH</t>
  </si>
  <si>
    <t>5S CONSTRUCTION, INC.</t>
  </si>
  <si>
    <t>SHAZAD BAKHSH</t>
  </si>
  <si>
    <t>135-20 Denis Street, Springfield Gardens, NY 11434</t>
  </si>
  <si>
    <t>135-20 Denis Street</t>
  </si>
  <si>
    <t>Block 12993, Lot 36</t>
  </si>
  <si>
    <t>Gregory J. Sanda, Esq.</t>
  </si>
  <si>
    <t>MCMICHAEL TAYLOR GRAY, LLC</t>
  </si>
  <si>
    <t>3550 Engineering Drive, Suite 260, Peachtree Corners, GA 30092</t>
  </si>
  <si>
    <t>404.474.7149</t>
  </si>
  <si>
    <t>713825/2017</t>
  </si>
  <si>
    <t>DEUTSCHE BANK NATIONAL TRUST vs. MULZAC, ELIAS ETAL</t>
  </si>
  <si>
    <t>ELIAS MULZAC</t>
  </si>
  <si>
    <t>25316 139TH AVENUE, ROSEDALE, NY 11422</t>
  </si>
  <si>
    <t>25316 139TH AVENUE</t>
  </si>
  <si>
    <t>Block 13607, Lot 27</t>
  </si>
  <si>
    <t>Lorraine P. Falco, Esq.</t>
  </si>
  <si>
    <t>702945/2022</t>
  </si>
  <si>
    <t>CITIMORTGAGE, INC. vs. PENA, ROBERTO ETAL.</t>
  </si>
  <si>
    <t>ROBERTO PENA, ANA M. MOLINA</t>
  </si>
  <si>
    <t>ROBERTO PENA</t>
  </si>
  <si>
    <t>ANA M. MOLINA</t>
  </si>
  <si>
    <t>97-01 50TH AVENUE, CORONA, NY 11368</t>
  </si>
  <si>
    <t>97-01 50TH AVENUE</t>
  </si>
  <si>
    <t>Block: 1880 Lot: 46</t>
  </si>
  <si>
    <t>April 3rd, 2019</t>
  </si>
  <si>
    <t>MICHAEL A. CERVINI, ESQ.</t>
  </si>
  <si>
    <t>704297/2013</t>
  </si>
  <si>
    <t>THE BANK OF NEW YORK MELLON vs. GARITA, MELCHOR H ETAL</t>
  </si>
  <si>
    <t>THE BANK OF NEW YORK MELLON FKA THE BANK OF NEW YORK AS TRUSTEE FOR THE CERTIFICATEHOLDERS OF CWABS, INC., ASSET-BACKED CERTIFICATES, SERIES 2004-15</t>
  </si>
  <si>
    <t>MELCHOR H. GARITA</t>
  </si>
  <si>
    <t>114-35 INWOOD ST, JAMAICA, NY 11436</t>
  </si>
  <si>
    <t>114-35 INWOOD ST</t>
  </si>
  <si>
    <t>Block: 11976 Lot: 53</t>
  </si>
  <si>
    <t>Corey Robson, Esq.</t>
  </si>
  <si>
    <t>KOZENY, MCCUBBIN &amp; KATZ, LLP.</t>
  </si>
  <si>
    <t>395 N. Service Road, Melville, NY 11747</t>
  </si>
  <si>
    <t>(631) 454-8059</t>
  </si>
  <si>
    <t>714844/2021</t>
  </si>
  <si>
    <t>HSBC BANK USA, vs. MCBEAN, EUSTACE ETAL.</t>
  </si>
  <si>
    <t>HSBC BANK USA, NATIONAL ASSOCIATION, as Indenture Trustee, for the FBR Securitization Trust 2005-2 Callable Mortgage-Backed Notes, Series 2005-2</t>
  </si>
  <si>
    <t>Any unknown heirs, devisees, distributees or successors in interest of the late EUSTACE MCBEAN A/K/A EUSTACE MC BEAN, if they be living or, if they be dead, their spouses, heirs, devisees, distributees and successors in interest, all of whom and whose names and places of residence are unknown to the Plaintiff'</t>
  </si>
  <si>
    <t>Any unknown heirs of the late EUSTACE MCBEAN</t>
  </si>
  <si>
    <t>124 -23 135Th Place a/k/a 124-23 135th Place, Jamaica, NY 11420</t>
  </si>
  <si>
    <t>124 -23 135Th Place a/k/a 124-23 135th Place</t>
  </si>
  <si>
    <t>Block 11760 Lot 105</t>
  </si>
  <si>
    <t>Jeffrey Kim, Esq.</t>
  </si>
  <si>
    <t>704677/2023</t>
  </si>
  <si>
    <t>FEDERAL HOME LOAN MORTGAGE CORPORATION vs. DANTZLER, JASON A. et al</t>
  </si>
  <si>
    <t>FEDERAL HOME LOAN MORTGAGE</t>
  </si>
  <si>
    <t>JASON A. DANTZLER, NEW YORK CITY ENVIRONMENTAL CONTROL BOARD</t>
  </si>
  <si>
    <t>JASON A. DANTZLER</t>
  </si>
  <si>
    <t>144-16 Farmers Boulevard, Jamaica, NY 11434</t>
  </si>
  <si>
    <t>144-16 Farmers Boulevard</t>
  </si>
  <si>
    <t>Block 12597 and Lot 38</t>
  </si>
  <si>
    <t>Anthony J. Rooney</t>
  </si>
  <si>
    <t>717463/2023</t>
  </si>
  <si>
    <t>BANK OF AMERICA, N.A. vs. PRICE, MICHAEL ETAL</t>
  </si>
  <si>
    <t>BANK OF AMERICA, N.A.</t>
  </si>
  <si>
    <t>MICHAEL PRICE, UWANA PRICE</t>
  </si>
  <si>
    <t>MICHAEL PRICE</t>
  </si>
  <si>
    <t>UWANA PRICE</t>
  </si>
  <si>
    <t>172-04 109th Ave, Jamaica, NY 11433</t>
  </si>
  <si>
    <t>172-04 109th Ave</t>
  </si>
  <si>
    <t>Block 10264 and Lot 51</t>
  </si>
  <si>
    <t>714263/2019</t>
  </si>
  <si>
    <t>WELLS FARGO BANK, N.A. vs. ASSYAG, ZAHI ETAL</t>
  </si>
  <si>
    <t>Zahi Assyag; City of New York Environmental Control Board; City of New York Parking Violations Bureau; City of New York Transit Adjudication Bureau, ‘JOHN DOE’</t>
  </si>
  <si>
    <t>Zahi Assyag</t>
  </si>
  <si>
    <t>150-08 Tahoe Street, Ozone Park, NY 11417</t>
  </si>
  <si>
    <t>150-08 Tahoe Street</t>
  </si>
  <si>
    <t>Block: 11556 Lot: 16</t>
  </si>
  <si>
    <t>715185/2018</t>
  </si>
  <si>
    <t>U.S.BANK NATIONAL vs. DOUGLAS, HARVEY ETAL</t>
  </si>
  <si>
    <t>HARVEY DOUGLAS A/K/A HARVEY SAINT MARK DOUGLAS</t>
  </si>
  <si>
    <t>HARVEY DOUGLAS A/K/A HARVEY</t>
  </si>
  <si>
    <t>SAINT MARK DOUGLAS</t>
  </si>
  <si>
    <t>240-16 143RD AVENUE, ROSEDALE, NY 11422</t>
  </si>
  <si>
    <t>240-16 143RD AVENUE</t>
  </si>
  <si>
    <t>13554-70</t>
  </si>
  <si>
    <t>Jeffrey Kee Sung Kim, Esq.</t>
  </si>
  <si>
    <t>706174/2023</t>
  </si>
  <si>
    <t>U.S. BANK TRUST NATIONAL ASSOCIATION vs. JONES, LASEAN et al</t>
  </si>
  <si>
    <t>LASEAN JONES, STRACY JONES</t>
  </si>
  <si>
    <t>LASEAN JONES</t>
  </si>
  <si>
    <t>STRACY JONES</t>
  </si>
  <si>
    <t>112-32 209th Street, Queens Village, NY 11429</t>
  </si>
  <si>
    <t>112-32 209th Street</t>
  </si>
  <si>
    <t>Block 10985 Lot 36</t>
  </si>
  <si>
    <t>704357/2017</t>
  </si>
  <si>
    <t>DEUTSCHE BANK NATIONAL TRUST vs. CUNNINGHAM, DIALLO K. ETAL</t>
  </si>
  <si>
    <t>DEUTSCHE BANK NATIONAL TRUST                COMPANY AS TRUSTEE FOR                INDYMAC INDX MORTGAGE LOAN                TRUST 2006-FLX1, MORTGAGE                PASS-THROUGH</t>
  </si>
  <si>
    <t>DIALLO K. CUNNINGHAM A/K/A  DIALLO K. VIRTUECUNNINGHAM</t>
  </si>
  <si>
    <t>DIALLO K. CUNNINGHAM</t>
  </si>
  <si>
    <t>173-47 105TH AVENUE, JAMAICA, NY 11433</t>
  </si>
  <si>
    <t>173-47 105TH AVENUE</t>
  </si>
  <si>
    <t>Block 10234,  Lot 285</t>
  </si>
  <si>
    <t>706213/2021</t>
  </si>
  <si>
    <t>US BANK NATIONAL ASSOC. vs. SHEM-TOV, YOSI ETAL.</t>
  </si>
  <si>
    <t>YOSI SHEM-TOV</t>
  </si>
  <si>
    <t>327 125TH ST, COLLEGE POINT, NY 11356</t>
  </si>
  <si>
    <t>327 125TH ST</t>
  </si>
  <si>
    <t>COLLEGE POINT</t>
  </si>
  <si>
    <t>Block 3922, Lot 11</t>
  </si>
  <si>
    <t>Dana L. Jenkins, Esq.</t>
  </si>
  <si>
    <t>710479/2021</t>
  </si>
  <si>
    <t>US BANK NATIONAL ASSOCIATION vs. VENTO, JASON ETAL</t>
  </si>
  <si>
    <t>US BANK NATIONAL ASSOCIATION, AS TRUSTEE FOR CSAB MORTGAGE-BACKED</t>
  </si>
  <si>
    <t>JASON VENTO</t>
  </si>
  <si>
    <t>84-38 108th Street, Richmond Hill, NY 11418</t>
  </si>
  <si>
    <t>84-38 108th Street</t>
  </si>
  <si>
    <t>Block: 9193 Lot: 25</t>
  </si>
  <si>
    <t>Alan C. Kestenbaum, Esq.</t>
  </si>
  <si>
    <t>711178/2023</t>
  </si>
  <si>
    <t>U.S. BANK TRUST NATIONAL ASSOCIATION, vs. PRIETO, OSCAR A. et al</t>
  </si>
  <si>
    <t>NEWREZ LLC D/B/A SHELLPOINT MORTGAGE SERVICING</t>
  </si>
  <si>
    <t>OSCAR A. PRIETO, AS ADMINISTRATOR OF THE ESTATE OF MAUREEN MULLANEY</t>
  </si>
  <si>
    <t xml:space="preserve">OSCAR A. PRIETO, AS ADMINISTRATOR </t>
  </si>
  <si>
    <t xml:space="preserve">STUART GLUICK, HEIR </t>
  </si>
  <si>
    <t>57-44 57TH DRIVE, MASPETH, NEW YORK 11378</t>
  </si>
  <si>
    <t>57-44 57TH DRIVE</t>
  </si>
  <si>
    <t>MASPETH</t>
  </si>
  <si>
    <t>Block 2676, Lot 21</t>
  </si>
  <si>
    <t>ANTHONY CELLUCCI, ESQ.</t>
  </si>
  <si>
    <t>Robertson, Anschutz, Schneid, Crane &amp; Partners, PELC</t>
  </si>
  <si>
    <t>708388/2019</t>
  </si>
  <si>
    <t>NYCTL 1998-2 TRUST vs. JOHNSON, ROXINE ETAL</t>
  </si>
  <si>
    <t>ROXINE JOHNSON, NEW YORK CITY ENVIRONMENTAL CONTROL BOARD, ROBERT WALLACE, MARY ANN MCCARTHY</t>
  </si>
  <si>
    <t>ROXINE JOHNSON</t>
  </si>
  <si>
    <t>434 Beach 44th Street, Far Rockaway, New York</t>
  </si>
  <si>
    <t>434 Beach 44th Street</t>
  </si>
  <si>
    <t>Block 15965 and Lot 20</t>
  </si>
  <si>
    <t>156 West 56th Street, New York, New York 10019</t>
  </si>
  <si>
    <t>710424/2021</t>
  </si>
  <si>
    <t>B&amp;amp;B FUNDING, LLC vs. SAHA, ANAL et al</t>
  </si>
  <si>
    <t>B&amp;B CAPITAL, LLC</t>
  </si>
  <si>
    <t>ANAL SAHA</t>
  </si>
  <si>
    <t>90-08 185th Street, Hollis, NY 11423</t>
  </si>
  <si>
    <t>90-08 185th Street</t>
  </si>
  <si>
    <t>Block 9906 Lot 11</t>
  </si>
  <si>
    <t>Leopold &amp; Associates, PLLC</t>
  </si>
  <si>
    <t>711387/2022</t>
  </si>
  <si>
    <t>LOAN FUNDER LLC SERIES 15922 vs. THE TAUREAU GROUP INC. et al</t>
  </si>
  <si>
    <t>LOAN FUNDER LLC SERIES 15922</t>
  </si>
  <si>
    <t>THE TAUREAU GROUP INC.</t>
  </si>
  <si>
    <t>114-25 200th Street, Jamaica, NY 11412</t>
  </si>
  <si>
    <t>114-25 200th Street</t>
  </si>
  <si>
    <t>Block 11017 and Lot 63.</t>
  </si>
  <si>
    <t>Lois Vitti, Esq.</t>
  </si>
  <si>
    <t>703419/2021</t>
  </si>
  <si>
    <t>Harry Enterprise Inc. vs. Max Rahaman Realty, LLC et al</t>
  </si>
  <si>
    <t>HARRY ENTERPRISE INC.</t>
  </si>
  <si>
    <t>MAX RAHAMAN REALTY, LLC</t>
  </si>
  <si>
    <t>127-20 Liberty Avenue, Richmond Hill, NY 11419</t>
  </si>
  <si>
    <t>127-20 Liberty Avenue</t>
  </si>
  <si>
    <t xml:space="preserve">Richmond Hill </t>
  </si>
  <si>
    <t>Block 9581, Lot 10</t>
  </si>
  <si>
    <t>ROSENBERG &amp; STEINMETZ PC</t>
  </si>
  <si>
    <t>181 South Franklin Avenue, Valley Stream, NY, #102040</t>
  </si>
  <si>
    <t>LOIS MARIE VITTI, Esq.</t>
  </si>
  <si>
    <t>707373/2023</t>
  </si>
  <si>
    <t>HSBC BANK USA, NATIONAL ASSOCIATION vs. MITCHELL, YVONNE et al</t>
  </si>
  <si>
    <t>HSBC BANK USA, NATIONAL ASSOCIATION AS TRUSTEE FOR DEUTSCHE ALT-A SECURITIES, INC., MORTGAGE PASS-THROUGH CERTIFICATES SERIES 2006-AR6</t>
  </si>
  <si>
    <t>YVONNE MITCHELL</t>
  </si>
  <si>
    <t>171-38 105TH AVENUE, JAMAICA, NEW YORK 11433</t>
  </si>
  <si>
    <t>171-38 105TH AVENUE</t>
  </si>
  <si>
    <t>Block 10241, Lot 26</t>
  </si>
  <si>
    <t>SARA Z. BORISKIN, ESQ.</t>
  </si>
  <si>
    <t>Robertson, Anschutz, Schneid, Crane &amp; Partners, P/LLC</t>
  </si>
  <si>
    <t>719089/2018</t>
  </si>
  <si>
    <t>HSBC BANK USA, N.A., AS vs. FLORES, FRANK ETAL</t>
  </si>
  <si>
    <t>HSBC BANK USA, N.A., AS INDENTURE TRUSTEE FOR THE REGISTERED NOTEHOLDERS OF RENAISSANCE HOME EQUITY LOAN TRUST 2007-1</t>
  </si>
  <si>
    <t>FRANK FLORES AKA FRANK P. FLORES AKA FRANCISCA A FLORES AKA FRANCISCO FLORES AKA FRANCO FLORES AKA FRANCIS FLORES AKA FRANCISCO F FLORES AKA FRANKLIN J FLORES, FRANKLYN ALEXANDER FLORE AKA FRANCISCO FLORES-GONZALEZ AKA FRANK FLORES HERNANDEZ AKA FRANCISCO FLORES LOPEZ, FRANCES FLORES AKA FRANCES MALDONADO</t>
  </si>
  <si>
    <t>FRANK FLORES</t>
  </si>
  <si>
    <t>FRANCES MALDONADO</t>
  </si>
  <si>
    <t>8017 88Th Road, Woodhaven, NY 11421</t>
  </si>
  <si>
    <t>8017 88Th Road</t>
  </si>
  <si>
    <t>Block 8916, Lot 168</t>
  </si>
  <si>
    <t>236, 789.76</t>
  </si>
  <si>
    <t>703601/2021</t>
  </si>
  <si>
    <t>WELLS FARGO BANK, N.A. vs. LIEBERT, CYNTHIA ETAL</t>
  </si>
  <si>
    <t>Cynthia Liebert; Glendale Liebert</t>
  </si>
  <si>
    <t>Cynthia Liebert</t>
  </si>
  <si>
    <t>Glendale Liebert</t>
  </si>
  <si>
    <t>150-39 108Th Avenue, Jamaica, NY 11433-1909</t>
  </si>
  <si>
    <t>150-39 108Th Avenue</t>
  </si>
  <si>
    <t>11433-1909</t>
  </si>
  <si>
    <t>Block 10132 Lot 54</t>
  </si>
  <si>
    <t>721638/2019</t>
  </si>
  <si>
    <t>THE BANK OF NEW YORK MELLON vs. TELEMAQUE, YVES-MERRY ETAL</t>
  </si>
  <si>
    <t>The Bank of New York Mellon FKA The Bank of New York, as Trustee for the certificateholders of the CWABS, Inc., Asset-Backed Certificates, Series 2007-10</t>
  </si>
  <si>
    <t>Yves-Merry Telemaque; Commissioner of Social Services of the City of New York Social Services District; Discover Bank; Estate of Cleo Veal, by Pub admin of Queens; New York State Department of Taxation and Finance; Bank of New York Mellon, John Doe and New York City Parking Violations Bureau</t>
  </si>
  <si>
    <t>Yves-Merry Telemaque</t>
  </si>
  <si>
    <t>116-52 218th St, Cambria Heights, NY 11411</t>
  </si>
  <si>
    <t>116-52 218th St</t>
  </si>
  <si>
    <t>Cambria Heights</t>
  </si>
  <si>
    <t>Block 11318 Lot 3</t>
  </si>
  <si>
    <t>711867/2017</t>
  </si>
  <si>
    <t>BLUE CASTLE (CAYMAN) LTD vs. HOLMES-BENJAMIN, VANESSA ETAL</t>
  </si>
  <si>
    <t>BLUE CASTLE (CAYMAN) LTD</t>
  </si>
  <si>
    <t>VANESSA HOLMES-BENJAMIN</t>
  </si>
  <si>
    <t>130-65 227th Street, Springfield Gardens a/k/a Laurelton, NY 11413</t>
  </si>
  <si>
    <t>130-65 227th Street</t>
  </si>
  <si>
    <t>Block 12905 and Lot 5</t>
  </si>
  <si>
    <t>Sally Attia, Esq.</t>
  </si>
  <si>
    <t>706408/2021</t>
  </si>
  <si>
    <t>US BANK NATIONAL ASSOCIATION vs. LIEBOWITZ, JEFFREY ETAL</t>
  </si>
  <si>
    <t>JEFFREY LIEBOWITZ</t>
  </si>
  <si>
    <t>159-15 91st Street, Howard Beach, NY 11414</t>
  </si>
  <si>
    <t>159-15 91st Street</t>
  </si>
  <si>
    <t>(Block: 14012, Lot: 112)</t>
  </si>
  <si>
    <t>Alan Kestenbaum, Esq.</t>
  </si>
  <si>
    <t>719435/2021</t>
  </si>
  <si>
    <t>WILMINGTON TRUST COMPANY vs. CHOWDHURY, NASRIN ETAL</t>
  </si>
  <si>
    <t>WILMINGTON TRUST COMPANY</t>
  </si>
  <si>
    <t>NASRIN CHOWDHURY</t>
  </si>
  <si>
    <t>182-26 Avon Road, Jamaica, NY 11432</t>
  </si>
  <si>
    <t>182-26 Avon Road</t>
  </si>
  <si>
    <t>Block 7247 Lot 53</t>
  </si>
  <si>
    <t>712242/2023</t>
  </si>
  <si>
    <t>REGAIN CRF FUND I LLC vs. ALI, SHERRY S. et al</t>
  </si>
  <si>
    <t>REGAIN CRF FUND I LLC</t>
  </si>
  <si>
    <t>SHERRY S. ALI</t>
  </si>
  <si>
    <t>SHERRY S. ALI A/K/A SHERRY SAMDAYE ALI</t>
  </si>
  <si>
    <t>90-63 186th St., Hollis, NY 11423</t>
  </si>
  <si>
    <t>90-63 186th St.</t>
  </si>
  <si>
    <t>Block: 9908, Lot: 21</t>
  </si>
  <si>
    <t>Stein, Wiener &amp; Roth LLP</t>
  </si>
  <si>
    <t>1400 Old Country Road, Suite 315, Westbury, NY 11590</t>
  </si>
  <si>
    <t>516.742.1212</t>
  </si>
  <si>
    <t>710327/2016</t>
  </si>
  <si>
    <t>DEUTSCHE BANK NATIONAL vs. HUGHES, BONNIE ETAL</t>
  </si>
  <si>
    <t>BONNIE HUGHES</t>
  </si>
  <si>
    <t>BONNIE HUGHES A/K/A BONNIE GRANT HUGHES</t>
  </si>
  <si>
    <t>105-10 130th Street, South Richmond Hill, NY 11419</t>
  </si>
  <si>
    <t>105-10 130th Street</t>
  </si>
  <si>
    <t>Block 9583 and Lot 17</t>
  </si>
  <si>
    <t>724234/2021</t>
  </si>
  <si>
    <t>WELLS FARGO BANK, N.A. vs. DAVIS, KAREN Y. ETAL.</t>
  </si>
  <si>
    <t>WELLS FARGO BANK, N.A. AS</t>
  </si>
  <si>
    <t>KAREN Y DAVIS</t>
  </si>
  <si>
    <t>153-26 FOCH BLVD, JAMAICA, NY 11434</t>
  </si>
  <si>
    <t>153-26 FOCH BLVD</t>
  </si>
  <si>
    <t>12204-153</t>
  </si>
  <si>
    <t>Swati P. Mantione, Esq.</t>
  </si>
  <si>
    <t>719607/2020</t>
  </si>
  <si>
    <t>MTGLQ INVESTORS, L.P. vs. LEE, JUNG AE ETAL</t>
  </si>
  <si>
    <t>HSBS MORTGAGE CORPORATION USA</t>
  </si>
  <si>
    <t>JUNG LEE, AL *STAR SERVICES, INC.</t>
  </si>
  <si>
    <t>JUNG LEE</t>
  </si>
  <si>
    <t>241-05B Oak Park Drive, Douglaston, New York 11362</t>
  </si>
  <si>
    <t>#241-05B OAK PARK DR.</t>
  </si>
  <si>
    <t>DOUGLASTON</t>
  </si>
  <si>
    <t>Block 8310, Lot 1089</t>
  </si>
  <si>
    <t>August, 2007</t>
  </si>
  <si>
    <t>ROBERTSON, ANSCHUTZ, SCHNEID, CRANE &amp; PARTNERS, PLLC</t>
  </si>
  <si>
    <t>724328/2020</t>
  </si>
  <si>
    <t>WELLS FARGO BANK, N.A. vs. GENAO, FRANCISCO ETAL</t>
  </si>
  <si>
    <t>FRANCISCO GENAO, CITY REGISTER OF THE CITY OF NEW YORK QUEENS COUNTY, MORTGAGE ELECTRONIC REGISTRATION SYSTEMS, INC. AS NOMINEE FOR INDYMAC BANK, FSB</t>
  </si>
  <si>
    <t>FRANCISCO GENAO</t>
  </si>
  <si>
    <t>120-71 132ND STREET, SOUTH OZONE PARK, NY 11420</t>
  </si>
  <si>
    <t>120-71 132ND STREET</t>
  </si>
  <si>
    <t>Block 11756 Lot 77</t>
  </si>
  <si>
    <t>Amber Jurek, Esq</t>
  </si>
  <si>
    <t>(716)204-1700</t>
  </si>
  <si>
    <t>716915/2021</t>
  </si>
  <si>
    <t>U.S. BANK, N.A. vs. UNKNOWN HEIRS OF THE ESTATE OF WILLIAM E. LEE et al</t>
  </si>
  <si>
    <t>U.S. BANK TRUST, N.A., AS TRUSTEE FOR LSF10 MASTER PARTICIPATION TRUST</t>
  </si>
  <si>
    <t>UNKNOWN HEIRS OF THE ESTATE OF WILLIAM E. LEE</t>
  </si>
  <si>
    <t>111-40 148th Street, Jamaica, NY 11435</t>
  </si>
  <si>
    <t>111-40 148th Street</t>
  </si>
  <si>
    <t>Block 11964 Lot 223</t>
  </si>
  <si>
    <t>Stern &amp; Eisenberg, P.C.</t>
  </si>
  <si>
    <t>20 Commerce Drive, Suite 230, Cranford, NJ 07016</t>
  </si>
  <si>
    <t>Austin Isiuwa Idehen, Esq.</t>
  </si>
  <si>
    <t>716512/2020</t>
  </si>
  <si>
    <t>MCLP ASSET COMPANY vs. RALEIGH, LORD N. ETAL</t>
  </si>
  <si>
    <t>MCLP ASSET COMPANY, INC</t>
  </si>
  <si>
    <t>Lord N. Raleigh aka Lord Raleigh; Rosamond Raleigh</t>
  </si>
  <si>
    <t>Lord N. Raleigh</t>
  </si>
  <si>
    <t>Rosamond Raleigh</t>
  </si>
  <si>
    <t>160-15 119th Avenue, Jamaica, NY 11434</t>
  </si>
  <si>
    <t>160-15 119th Avenue</t>
  </si>
  <si>
    <t>Block 12242 Lot 33</t>
  </si>
  <si>
    <t>(800) 280-2832</t>
  </si>
  <si>
    <t>726812/2023</t>
  </si>
  <si>
    <t>WILMINGTON SAVINGS FUND SOCIETY, FSB vs. FIORE, REGINA et al</t>
  </si>
  <si>
    <t>REGINA FIORE; UNITED STATES OF AMERICA</t>
  </si>
  <si>
    <t>REGINA FIORE</t>
  </si>
  <si>
    <t>5353 61ST STREET MASPETH, NY 11378</t>
  </si>
  <si>
    <t>5353 61ST STREET</t>
  </si>
  <si>
    <t>Block: 2367 Lot: 26</t>
  </si>
  <si>
    <t>Arsenio Rodriguez, Esq.</t>
  </si>
  <si>
    <t>STERN &amp; EISENBERG, PC</t>
  </si>
  <si>
    <t>20 Commerce Drive, Suite 230 Cranford, NJ 07016</t>
  </si>
  <si>
    <t>732.582.6344</t>
  </si>
  <si>
    <t>724553/2022</t>
  </si>
  <si>
    <t>US BANK TRUST NATIONAL ASSOCIATION, vs. KANDILAROVA-KOLEV, DINORA et al</t>
  </si>
  <si>
    <t>US BANK TRUST NATIONAL</t>
  </si>
  <si>
    <t>DINORA KANDILAROVA-KOLEV; JULIAN IVANOV KOLEV</t>
  </si>
  <si>
    <t>DINORA KANDILAROVA-KOLEV</t>
  </si>
  <si>
    <t>JULIAN IVANOV KOLEV</t>
  </si>
  <si>
    <t>2549 37th Street Astoria, New York 11103</t>
  </si>
  <si>
    <t>2549 37th Street</t>
  </si>
  <si>
    <t>Block 653 Lot 17</t>
  </si>
  <si>
    <t>Mark R. Knuckles, Esq.</t>
  </si>
  <si>
    <t>(914) 345-3020</t>
  </si>
  <si>
    <t>721086/2021</t>
  </si>
  <si>
    <t>TOORAK CAPITAL PARTNERS, LLC vs. 13515 220TH PL CORP et al</t>
  </si>
  <si>
    <t>TOORAK CAPITAL PARTNERS, LLC</t>
  </si>
  <si>
    <t>13515 220TH PL CORP.</t>
  </si>
  <si>
    <t>135-15 220TH PLACE, LAURELTON, NY 11413</t>
  </si>
  <si>
    <t>135-15 220TH PLACE</t>
  </si>
  <si>
    <t>13113-17</t>
  </si>
  <si>
    <t>Nicholas E. Perciballi, Esq.</t>
  </si>
  <si>
    <t>716902/2020</t>
  </si>
  <si>
    <t>NYCTL 2019-A TRUST et al vs. KELVIN DIAN-DENG LIN et al</t>
  </si>
  <si>
    <t>NYCTL 2019-A TRUST</t>
  </si>
  <si>
    <t>KELVIN DIAN-DENG LIN, OI KAM CHAN</t>
  </si>
  <si>
    <t>KELVIN DIAN-DENG LIN</t>
  </si>
  <si>
    <t>ΟΙ KAM CHAN</t>
  </si>
  <si>
    <t>90-27 52nd AVENUE, ELMHURST, NY 11373</t>
  </si>
  <si>
    <t>90-27 52nd Avenue</t>
  </si>
  <si>
    <t>Block 1853, Lot 74</t>
  </si>
  <si>
    <t>Jerry A. Montag</t>
  </si>
  <si>
    <t>212.218.5500</t>
  </si>
  <si>
    <t>MICHAEL F. MONGELLI II, ESQ.</t>
  </si>
  <si>
    <t>726827/2023</t>
  </si>
  <si>
    <t>Metro City Bank vs. Asher, Sara et al</t>
  </si>
  <si>
    <t>METRO CITY BANK</t>
  </si>
  <si>
    <t>SARA ASHER</t>
  </si>
  <si>
    <t>SHALOM ASHER</t>
  </si>
  <si>
    <t>209-11 85th Avenue, Queens Village, New York 11427</t>
  </si>
  <si>
    <t>209-11 85TH AVENUE</t>
  </si>
  <si>
    <t>Block: 7801, Lot: 4</t>
  </si>
  <si>
    <t>Robert Yu, LLC</t>
  </si>
  <si>
    <t>560 Sylvan Avenue, Suite 1050, Englewood Cliffs, NJ 07632</t>
  </si>
  <si>
    <t>201-257-6807</t>
  </si>
  <si>
    <t>David L. Cohen, Esq.</t>
  </si>
  <si>
    <t>725010/2023</t>
  </si>
  <si>
    <t>BOARD OF MANAGERS OF THE COLTON CONDOMINIUM vs. SALVA, ERNESTO et al</t>
  </si>
  <si>
    <t>BOARD OF MANAGERS OF THE COLTON</t>
  </si>
  <si>
    <t>ERNESTO SALVA, CARMEN M. GUZMAN</t>
  </si>
  <si>
    <t>ERNESTO SALVA</t>
  </si>
  <si>
    <t>CARMEN M. GUZMAN</t>
  </si>
  <si>
    <t>76-15 35th Avenue, Unit 2R Jackson Heights, NY 11372</t>
  </si>
  <si>
    <t>76-15 35th Avenue, Unit 2R</t>
  </si>
  <si>
    <t>Lot 1032 in Block 1263 of Section 8</t>
  </si>
  <si>
    <t>Andreas E. Christou, Esq.</t>
  </si>
  <si>
    <t>WOODS LONERGAN PLLC</t>
  </si>
  <si>
    <t>One Grand Central Place 60 East 42nd Street, Suite 1410, New York, NY 10165</t>
  </si>
  <si>
    <t>(212) 684-2500</t>
  </si>
  <si>
    <t>726134/2021</t>
  </si>
  <si>
    <t>NATIONSTAR MORTGAGE LLC vs. NANAN, SURUJBALLI ETAL</t>
  </si>
  <si>
    <t>Nationstar Mortgage LLC</t>
  </si>
  <si>
    <t>Surujballie Nanan</t>
  </si>
  <si>
    <t>120 -31 142nd Street, Jamaica, NY 11436</t>
  </si>
  <si>
    <t>120 -31 142nd Street</t>
  </si>
  <si>
    <t>Block 12035 Lot 5</t>
  </si>
  <si>
    <t>719864/2023</t>
  </si>
  <si>
    <t>SELENE FINANCE LP vs. POTTINGER, ANTOINETTE ETAL</t>
  </si>
  <si>
    <t>ANTOINETTE POTTINGER A/K/A ANTOINETTE SHERWOOD, CLIVE SHERWOOD</t>
  </si>
  <si>
    <t>ANTOINETTE POTTINGER A/K/A ANTOINETTE SHERWOOD</t>
  </si>
  <si>
    <t>CLIVE SHERWOOD</t>
  </si>
  <si>
    <t>144-44 226th Street, Springfield Gardens, New York 11413</t>
  </si>
  <si>
    <t>144-44 226th Street</t>
  </si>
  <si>
    <t>Block 13495 Lot 66</t>
  </si>
  <si>
    <t>10 MIDLAND AVENUE, SUITE 205, PORT CHESTER, NY 10573</t>
  </si>
  <si>
    <t>Arthur Nicholas Terranova, Esq.</t>
  </si>
  <si>
    <t>715570/2020</t>
  </si>
  <si>
    <t>U.S. BANK NATIONAL ASSOCIATION vs. LANCLOS, BRENDA et al</t>
  </si>
  <si>
    <t>U.S. BANK NATIONAL ASSOCIATION, AS TRUSTEE FOR VELOCITY COMMERCIAL CAPITAL LOAN TRUST 2018-2</t>
  </si>
  <si>
    <t>BRENDA LANCLOS</t>
  </si>
  <si>
    <t>117-26 204th Street, St. Albans, NY 11412</t>
  </si>
  <si>
    <t>117-26 204th Street</t>
  </si>
  <si>
    <t>Block 12633 Lot 18</t>
  </si>
  <si>
    <t>Kristen Jean Dubowski, Esq.</t>
  </si>
  <si>
    <t>14931/2011</t>
  </si>
  <si>
    <t>NG SOLUTIONS LLC. vs. MOORE, GERARD ETAL</t>
  </si>
  <si>
    <t>NG SOLUTIONS LLC</t>
  </si>
  <si>
    <t>GERARD MOORE</t>
  </si>
  <si>
    <t>Gerard Moore</t>
  </si>
  <si>
    <t>Sherwin Williams</t>
  </si>
  <si>
    <t>109-10 FRANCIS LEWIS BOULEVARD, QUEENS VILLAGE, NY 11429</t>
  </si>
  <si>
    <t>109-10 FRANCIS LEWIS BOULEVARD</t>
  </si>
  <si>
    <t xml:space="preserve">	Tax Block:  10912 Tax Lot	: 10</t>
  </si>
  <si>
    <t>Schiller, Knapp, Lefkowitz &amp; Hertzel, LLP</t>
  </si>
  <si>
    <t>15 Cornell Road, Latham, NY 12110</t>
  </si>
  <si>
    <t>518-786-9069</t>
  </si>
  <si>
    <t>705281/2016</t>
  </si>
  <si>
    <t>BANK OF AMERICA, N.A. vs. MELISSA JAMES, AS HEIR</t>
  </si>
  <si>
    <t>MELISSA JAMES, AS HEIR AND DISTRIBUTEE OF THE ESTATE OF ROSA JAMES, ET AL.</t>
  </si>
  <si>
    <t>MELISSA JAMES</t>
  </si>
  <si>
    <t>ROSA JAMES</t>
  </si>
  <si>
    <t>100-35 207TH STREET, QUEENS VILLAGE, NY 11429</t>
  </si>
  <si>
    <t>100-35 207TH STREET</t>
  </si>
  <si>
    <t>Block 10875, Lot 50</t>
  </si>
  <si>
    <t>Alen Richard Beerman, Esq.</t>
  </si>
  <si>
    <t>701900/2021</t>
  </si>
  <si>
    <t>U.S. BANK NATIONAL vs. MENDEZ, REYES ETAL</t>
  </si>
  <si>
    <t>REYES MENDEZ</t>
  </si>
  <si>
    <t>90-24 215th Street a/k/a 90-24 215 Street, Queens Village, NY 11428</t>
  </si>
  <si>
    <t>90-24 215th Street a/k/a 90-24 215 Street</t>
  </si>
  <si>
    <t>Block 10648 Lot 49</t>
  </si>
  <si>
    <t>28 East Main Street, Suite 1800, Rochester, NY 14614</t>
  </si>
  <si>
    <t>701383/2021</t>
  </si>
  <si>
    <t>US BANK NATIONAL ASSOCIATION vs. CORONADO, EUCLIDES ETAL</t>
  </si>
  <si>
    <t>EUCLIDES CORONADO</t>
  </si>
  <si>
    <t>25-29 97TH ST, EAST ELMHURST, NY 11369-1603</t>
  </si>
  <si>
    <t>25-29 97TH ST</t>
  </si>
  <si>
    <t>11369-1603</t>
  </si>
  <si>
    <t>1371-76</t>
  </si>
  <si>
    <t>703713/2023</t>
  </si>
  <si>
    <t>U.S. BANK NATIONAL ASSOCIATION vs. TUMMINGS, PATRICIA et al</t>
  </si>
  <si>
    <t>PATRICIA TUMMINGS, WILLIAM TUMMINGS</t>
  </si>
  <si>
    <t>PATRICIA TUMMINGS</t>
  </si>
  <si>
    <t>WILLIAM TUMMINGS</t>
  </si>
  <si>
    <t>111-40 212th Street, Queens Village, NY 11429</t>
  </si>
  <si>
    <t>111-40 212th Street</t>
  </si>
  <si>
    <t>Block 11124 Lot 38</t>
  </si>
  <si>
    <t>705042/2021</t>
  </si>
  <si>
    <t>U.S. BANK NATIONAL vs. SANTOS, JAMIE ETAL</t>
  </si>
  <si>
    <t>JAMIE SANTOS A/K/A JAIME SANTOS</t>
  </si>
  <si>
    <t>JAMIE SANTOS</t>
  </si>
  <si>
    <t>JAIME SANTOS</t>
  </si>
  <si>
    <t>99-12 NORTHERN BOULEVARD, CORONA, NY 11368</t>
  </si>
  <si>
    <t>99-12 NORTHERN BOULEVARD</t>
  </si>
  <si>
    <t>1714-5</t>
  </si>
  <si>
    <t>Donald L. Clark, Esq.</t>
  </si>
  <si>
    <t>700671/2020</t>
  </si>
  <si>
    <t>JY THE NORTH L.P. vs. NCRVI INTERNATIONAL INC., ETAL</t>
  </si>
  <si>
    <t>JY THE NORTH L.P.</t>
  </si>
  <si>
    <t>NCRVI INTERNATIONAL INC.; WOODHAVEN MEDICAL REALTY GROUP INC.; CHANDER S. AHUJA; RAJESH KARLA; AJIT H. MANSUKHANI; TRANSPORT WORKERS UNION OF AMERICA, AFL-CIO; NEW YORK CITY ENVIRONMENTAL CONTROL BOARD; NEW YORK STATE DEPARTMENT OF TAXATION AND FINANCE; CITY OF NEW YORK DEPARTMENT OF FINANCE</t>
  </si>
  <si>
    <t>NCRVI INTERNATIONAL INC.</t>
  </si>
  <si>
    <t>WOODHAVEN MEDICAL REALTY GROUP INC.</t>
  </si>
  <si>
    <t>164-01 Goethals Ave, Queens, NY 11432</t>
  </si>
  <si>
    <t>164-01 Goethals Ave</t>
  </si>
  <si>
    <t>Block 7024/Lot 32</t>
  </si>
  <si>
    <t>705366/2022</t>
  </si>
  <si>
    <t>WELLS FARGO BANK, N.A. vs. PERSAUD, RUDOLPH ETAL</t>
  </si>
  <si>
    <t>RUDOLPH PERSAUD; RAMKRIPAUL P. SUKHDEO</t>
  </si>
  <si>
    <t>RUDOLPH PERSAUD</t>
  </si>
  <si>
    <t>RAMKRIPAUL P. SUKHDEO</t>
  </si>
  <si>
    <t>9063 199th St, Hollis, New York 11423</t>
  </si>
  <si>
    <t>9063 199th St</t>
  </si>
  <si>
    <t>Block 10482 Lot 5</t>
  </si>
  <si>
    <t>Peter E. Tommaso, Esq.</t>
  </si>
  <si>
    <t>706794/2018</t>
  </si>
  <si>
    <t>U.S. BANK NATIONAL vs. JAIKARAN, DAVE N. ETAL</t>
  </si>
  <si>
    <t>DAVE N. JAIKARAN A/K/A DAVE JAIKARAN, RANU J. JAIKARAN_A/K/A RANU JAIKARAN_A/K/A RANU T. JAIKARAN</t>
  </si>
  <si>
    <t>DAVE N. JAIKARAN A/K/A DAVE JAIKARAN</t>
  </si>
  <si>
    <t>RANU J. JAIKARAN</t>
  </si>
  <si>
    <t>12923 a/k/a 129-23 143rd Street, Jamaica, NY 11436</t>
  </si>
  <si>
    <t>12923 a/k/a 129-23 143rd Street</t>
  </si>
  <si>
    <t>Block: 12067 Lot: 0073</t>
  </si>
  <si>
    <t>Austin I. Idehen, Esq.</t>
  </si>
  <si>
    <t>707318/2022</t>
  </si>
  <si>
    <t>MORTGAGE ASSETS MANAGEMENT, LLC vs. PRIETO, OSCAR A. et al</t>
  </si>
  <si>
    <t>OSCAR A. PRIETO, AS THE             ADMINISTRATOR OF THE ESTATE OF              MAUREEN MULLANEY, STUART GLUICK AS HEIR TO THE ESTATE OF MAUREEN              MULLANEY</t>
  </si>
  <si>
    <t>OSCAR A. PRIETO, ADMINISTRATOR</t>
  </si>
  <si>
    <t>STUART GLUICK, AS HEIR</t>
  </si>
  <si>
    <t>5742 57th Drive, Maspeth, NY 11378</t>
  </si>
  <si>
    <t>5742 57th Drive</t>
  </si>
  <si>
    <t>Block 2676 Lot 20</t>
  </si>
  <si>
    <t>710331/2015</t>
  </si>
  <si>
    <t>U.S. BANK, NATIONAL vs. CARTER, TOSHIBA</t>
  </si>
  <si>
    <t>U.S. BANK, NATIONAL ASSOCIATION, AS SUCCESSOR TRUSTEE TO BANK OF AMERICA, N.Α., AS SUCCESSOR TO LASALLE BANK, N.A. AS TRUSTEE FOR THE HOLDERS OF THE MERRILL LYNCH FIRST FRANKLIN MORTGAGE LOAN TRUST, MORTGAGE LOAN ASSET-BACKED CERTIFICATES, SERIES 2007-1</t>
  </si>
  <si>
    <t>TOSHIBA CARTER; ANDREA ROBINSON</t>
  </si>
  <si>
    <t>TOSHIBA CARTER</t>
  </si>
  <si>
    <t>ANDREA ROBINSON</t>
  </si>
  <si>
    <t>114-20 158th St, Jamaica, NY 11434</t>
  </si>
  <si>
    <t>114-20 158th St</t>
  </si>
  <si>
    <t>Block: 12194 Lot: 33</t>
  </si>
  <si>
    <t>Scott A.Sydelhik, Esq.</t>
  </si>
  <si>
    <t>711250/2021</t>
  </si>
  <si>
    <t>WELLS FARGO BANK, N.A. vs. MIRVILLE, RUSSELL ETAL</t>
  </si>
  <si>
    <t>RUSSELL MIRVILLE</t>
  </si>
  <si>
    <t>109-16 176th St, St. Albans, NY 11433</t>
  </si>
  <si>
    <t>109-16 176th St</t>
  </si>
  <si>
    <t>SBL No.: 10267-44</t>
  </si>
  <si>
    <t>Kristin M. Bolduc Esq.</t>
  </si>
  <si>
    <t>Joseph F. DeFelice, Esq.</t>
  </si>
  <si>
    <t>711758/2020</t>
  </si>
  <si>
    <t>ATLANTICA, LLC, vs. AKAVAN, SIMIN a/k/a SIMINE AKAVAN</t>
  </si>
  <si>
    <t>MORTGAGE ELECTRONIC REGISTRATION SYSTEMS, INC.</t>
  </si>
  <si>
    <t>SIMIN AKAVAN</t>
  </si>
  <si>
    <t>SIMIN AKAVAN a/k/a SIMINE AKAVAN</t>
  </si>
  <si>
    <t>RAYHANE SANDERS</t>
  </si>
  <si>
    <t>221-53 Horace Harding Expressway, Oakland Gardens, New York 11364</t>
  </si>
  <si>
    <t>221-53 Horace Harding Expressway</t>
  </si>
  <si>
    <t>Block 7527 and Lot 53</t>
  </si>
  <si>
    <t>Natalia Thomas, Esq.</t>
  </si>
  <si>
    <t>6851 Jericho Turnpike, Ste. 105, Syosset, New York 11791</t>
  </si>
  <si>
    <t>516.386.3900</t>
  </si>
  <si>
    <t>712381/2022</t>
  </si>
  <si>
    <t>HSBC BANK USA, vs. SINGH, KENNARD ETAL</t>
  </si>
  <si>
    <t>KENNARD SINGH, LENNOX JAIPAUL</t>
  </si>
  <si>
    <t>KENNARD SINGH</t>
  </si>
  <si>
    <t>LENNOX JAIPAUL</t>
  </si>
  <si>
    <t>77-11 Rockaway Blvd, Woodhaven, NY 11421</t>
  </si>
  <si>
    <t>77-11 Rockaway Blvd</t>
  </si>
  <si>
    <t>Section 4, Block 8953 and Lot 46</t>
  </si>
  <si>
    <t>700441/2016</t>
  </si>
  <si>
    <t>U.S. BANK NATIONAL vs. PETRUS, EMILENE</t>
  </si>
  <si>
    <t>U.S. BANK NATIONAL ASSOCIATION, AS TRUSTEE FOR GSAA HOME EQUITY TRUST</t>
  </si>
  <si>
    <t>EMILENE PETRUS A/K/A EMILENE EMILY PETRUS</t>
  </si>
  <si>
    <t>9140 Winchester Boulevard, Queens Village, New York 11428</t>
  </si>
  <si>
    <t>9140 Winchester Boulevard</t>
  </si>
  <si>
    <t>Block 10715 Lot 18</t>
  </si>
  <si>
    <t>MELISSA A. SPOSATO, ESQ</t>
  </si>
  <si>
    <t>Swati Mantione, Esq.</t>
  </si>
  <si>
    <t>712400/2021</t>
  </si>
  <si>
    <t>WEST COAST 2021-4, LLC vs. RAMOUDITH, ASHA et al</t>
  </si>
  <si>
    <t>WEST COAST 2021-4, LLC</t>
  </si>
  <si>
    <t>ASHA RAMOUDITH</t>
  </si>
  <si>
    <t>145-40 Linden Boulevard, #2, Jamaica, NY 11326</t>
  </si>
  <si>
    <t>145-40 Linden Boulevard, #2</t>
  </si>
  <si>
    <t>Block 11976 Lot 7</t>
  </si>
  <si>
    <t>Richland &amp; Falkowski, PLLC</t>
  </si>
  <si>
    <t>28-07 Jackson Avenue, 5th Floor, LONG ISLAND CITY, NY 11101</t>
  </si>
  <si>
    <t>712626/2022</t>
  </si>
  <si>
    <t>SAFEGUARD MISTY REALTY GROUP, LLC, vs. SAMUEL, RICHARD et al</t>
  </si>
  <si>
    <t>SAFEGUARD MISTY REALTY</t>
  </si>
  <si>
    <t>RICHARD SAMUEL AS HEIR AT LAW</t>
  </si>
  <si>
    <t>RICHARD SAMUEL</t>
  </si>
  <si>
    <t>71-34 170th St., Flushing, NY 11365</t>
  </si>
  <si>
    <t>71-34 170th St.</t>
  </si>
  <si>
    <t>(Block: 6957, Lot: 58)</t>
  </si>
  <si>
    <t>713176/2021</t>
  </si>
  <si>
    <t>WELLS FARGO BANK, N.A. vs. PEREZ, SOFIA P. ETAL</t>
  </si>
  <si>
    <t>WELLS FARGO BANK, NA</t>
  </si>
  <si>
    <t>SOFIA P. PEREZ</t>
  </si>
  <si>
    <t>67-30 Forest Avenue, Ridgewood, NY 11385</t>
  </si>
  <si>
    <t>67-30 Forest Avenue</t>
  </si>
  <si>
    <t>Block 3483 Lot 17</t>
  </si>
  <si>
    <t>James Scott Yoh, Esq.</t>
  </si>
  <si>
    <t>712825/2019</t>
  </si>
  <si>
    <t>U.S. BANK, NATIONAL vs. PAREDES, LUIS FIDEL etal</t>
  </si>
  <si>
    <t>U.S. BANK, NATIONAL ASSOCIATION</t>
  </si>
  <si>
    <t>LUIS FIDEL PAREDES</t>
  </si>
  <si>
    <t>31-22 105th Street, East Elmhurst, NY 11369</t>
  </si>
  <si>
    <t>31-22 105th Street</t>
  </si>
  <si>
    <t>Block 1691 and Lot 20</t>
  </si>
  <si>
    <t>727197/2021</t>
  </si>
  <si>
    <t>GREEN TREE SERVICING LLC vs. FRANTZESKAKIS, GEORGE ETAL.</t>
  </si>
  <si>
    <t>GREEN TREE SERVICING LLC</t>
  </si>
  <si>
    <t>GEORGE FRANTZESKAKIS</t>
  </si>
  <si>
    <t>150-12 27th Avenue, Flushing, NY 11354</t>
  </si>
  <si>
    <t>150-12 27th Avenue</t>
  </si>
  <si>
    <t>Block 4821 and Lot 12</t>
  </si>
  <si>
    <t>Fearonce G. La Lande, Esq.</t>
  </si>
  <si>
    <t>706220/2013</t>
  </si>
  <si>
    <t>CITIMORTGAGE, INC. vs. FERNANDEZ, AMADO ANTONIO ETAL</t>
  </si>
  <si>
    <t>AMADO ANTONIO FERNANDEZ</t>
  </si>
  <si>
    <t>1403 Mcbride Street, Far Rockaway, New York 11691</t>
  </si>
  <si>
    <t>1403 Mcbride Street</t>
  </si>
  <si>
    <t>704034/2021</t>
  </si>
  <si>
    <t>DEUTSCHE BANK NATIONAL vs. JOSEPH, ANTHONY ETAL</t>
  </si>
  <si>
    <t>ANTHONY JOSEPH</t>
  </si>
  <si>
    <t>132-09 135TH AVE, SOUTH OZONE PARK, NY 11420</t>
  </si>
  <si>
    <t>132-09 135TH AVE</t>
  </si>
  <si>
    <t>11792-106</t>
  </si>
  <si>
    <t>707084/2018</t>
  </si>
  <si>
    <t>WELLS FARGO BANK, N.A. AS vs. MYERS-SPANN, HOLLY ETAL</t>
  </si>
  <si>
    <t>HOLLY MYERS-SPANN</t>
  </si>
  <si>
    <t>1056 Beach 22nd St., Far Rockaway, NY 11691</t>
  </si>
  <si>
    <t>1056 Beach 22nd St.</t>
  </si>
  <si>
    <t>15705-35</t>
  </si>
  <si>
    <t>Bruce S. Povman, Esq.</t>
  </si>
  <si>
    <t>724791/2020</t>
  </si>
  <si>
    <t>NYCTL 1998-2 TRUST, and THE BANK OF NEW YORK MELLON vs. ALICE K. WAHRBURG, AS HEIR</t>
  </si>
  <si>
    <t>ERNEST WAHRBURG</t>
  </si>
  <si>
    <t>ALICE K. WAHRBURG</t>
  </si>
  <si>
    <t>148th Street, Flushing, NY 11355</t>
  </si>
  <si>
    <t>148th Street</t>
  </si>
  <si>
    <t>Block 5175 Lot 32</t>
  </si>
  <si>
    <t>718448/2024</t>
  </si>
  <si>
    <t>PNC BANK, NATIONAL ASSOCIATION vs. MARTINEZ, JUAN et al</t>
  </si>
  <si>
    <t>JUAN MARTINEZ; SANTIAGO FERNANDEZ</t>
  </si>
  <si>
    <t>JUAN MARTINEZ</t>
  </si>
  <si>
    <t>SANTIAGO FERNANDEZ</t>
  </si>
  <si>
    <t>101-51 102nd Street, Ozone Park, NY 11416</t>
  </si>
  <si>
    <t>101-51 102nd Street</t>
  </si>
  <si>
    <t>Block 9420 Tax Lot 46</t>
  </si>
  <si>
    <t>Mark K. Broyles. Esq.</t>
  </si>
  <si>
    <t>718416/2023</t>
  </si>
  <si>
    <t>Wilmington Saving Fund Society, vs. Sally Gentile etal</t>
  </si>
  <si>
    <t>Wilmington Savings Fund Society</t>
  </si>
  <si>
    <t>Sally Gentile, Estela Lane, Christine Brewer</t>
  </si>
  <si>
    <t>Sally Gentile</t>
  </si>
  <si>
    <t>Estela Lane</t>
  </si>
  <si>
    <t>150-35 120th Avenue, Jamaica, NY 11434</t>
  </si>
  <si>
    <t>150-35 120th Avenue</t>
  </si>
  <si>
    <t>Block 12211 Lot 51</t>
  </si>
  <si>
    <t>612, 941.07</t>
  </si>
  <si>
    <t>Robert J. Malatak, Esq.</t>
  </si>
  <si>
    <t>Windels Marx Lane &amp; Mittendorf, LLP</t>
  </si>
  <si>
    <t>(212) 237-1000</t>
  </si>
  <si>
    <t>724654/2021</t>
  </si>
  <si>
    <t>WELLS FARGO BANK, N.A. vs. BARNES, KAREN ETAL.</t>
  </si>
  <si>
    <t>Karen Barnes</t>
  </si>
  <si>
    <t>187-19 Pineville Lane, Springfield Gardens, NY 11413</t>
  </si>
  <si>
    <t>187-19 Pineville Lane</t>
  </si>
  <si>
    <t>Block 12717 Lot 143 and Block 12720 Lot 141</t>
  </si>
  <si>
    <t>Richard M. Guiterrez, Esq.</t>
  </si>
  <si>
    <t>708514/2018</t>
  </si>
  <si>
    <t>JPMORGAN CHASE BANK, vs. ZHANAY, BLANCA ETAL</t>
  </si>
  <si>
    <t>Blanca Zhanay</t>
  </si>
  <si>
    <t>22-60 79 Street, Unit 2C, East Elmhurst, NY 11370</t>
  </si>
  <si>
    <t>22-60 79 Street, Unit 2C</t>
  </si>
  <si>
    <t>Block: 1010 Lot: 1120</t>
  </si>
  <si>
    <t>Karl E. Kolkmann, Esq.</t>
  </si>
  <si>
    <t>713419/2020</t>
  </si>
  <si>
    <t>WELLS FARGO BANK, N.A., vs. LINN, DAVID ETAL</t>
  </si>
  <si>
    <t>WELLS FARGO BANK, N.A., AS TRUSTEE FOR PARK PLACE SECURITIES, INC. ASSET-BACKED PASS-THROUGH CERTIFICATES SERIES 2005-WHQ3</t>
  </si>
  <si>
    <t>DAVID LINN; SANDRA LINN</t>
  </si>
  <si>
    <t>DAVID LINN</t>
  </si>
  <si>
    <t>SANDRA LINN</t>
  </si>
  <si>
    <t>144 -04 70TH ROAD, FLUSHING, NEW YORK 11367</t>
  </si>
  <si>
    <t>144-04 70TH ROAD</t>
  </si>
  <si>
    <t>Block 6657, Lot 7</t>
  </si>
  <si>
    <t>LUCE PIERRE-RUSSON, ESQ.</t>
  </si>
  <si>
    <t>RAŞ Boriskin, LLC</t>
  </si>
  <si>
    <t>722911/2022</t>
  </si>
  <si>
    <t>JPMORGAN CHASE BANK, vs. GIBBON, HUGH ETAL</t>
  </si>
  <si>
    <t>JP MORGAN CHASE BANK, N.A.</t>
  </si>
  <si>
    <t>HUGH GIBBON A/K/A HUGH M. GIBBON</t>
  </si>
  <si>
    <t>HYACINTH M. GIBBON</t>
  </si>
  <si>
    <t>13503 220Th Place, Laurelton, NY 11413</t>
  </si>
  <si>
    <t>13503 220Th Place</t>
  </si>
  <si>
    <t>Block 13113 Lot 24</t>
  </si>
  <si>
    <t>CRAIG D ZIM, Esq.</t>
  </si>
  <si>
    <t>733 YONKERS AVENUE               YONKERS, NY 10704</t>
  </si>
  <si>
    <t>726252/2021</t>
  </si>
  <si>
    <t>CARRINGTON MORTGAGE SERVICES, LLC vs. PHILLIP PERSAUD, AS HEIR, DEVISEE,</t>
  </si>
  <si>
    <t>REVERSE MORTGAGE FUNDING LLC</t>
  </si>
  <si>
    <t>ANY AND ALL KNOWN OR UNKNOWN HEIRS</t>
  </si>
  <si>
    <t>131-11 95th Avenue, S. Richmond Hill, NY 11419</t>
  </si>
  <si>
    <t>131-11 95th Avenue</t>
  </si>
  <si>
    <t>S. Richmond Hill</t>
  </si>
  <si>
    <t>Block9447, Lot 38</t>
  </si>
  <si>
    <t>GREENSPOON MARDER, LLP</t>
  </si>
  <si>
    <t>590 Madison Avenue Suite 1800, New York, NY 10022</t>
  </si>
  <si>
    <t>720054/2019</t>
  </si>
  <si>
    <t>WELLS FARGO BANK, N.A. vs. BUSTAMANTE, WUILLER ETAL</t>
  </si>
  <si>
    <t>Wuiller Bustamante</t>
  </si>
  <si>
    <t>Martha Bustamante</t>
  </si>
  <si>
    <t>91-03 95TH STREET, WOODHAVEN, NY 11421</t>
  </si>
  <si>
    <t>91-03 95TH STREET</t>
  </si>
  <si>
    <t>BLOCK 8992, LOT 196</t>
  </si>
  <si>
    <t>702001/2012</t>
  </si>
  <si>
    <t>WELLS FARGO BANK, NATIONAL vs. MARC ANTHONY FREDERIC ETAL,</t>
  </si>
  <si>
    <t>WELLS FARGO BANK, NATIONAL ASSOCIATION, AS TRUSTEE FOR THE HOLDERS OF THE</t>
  </si>
  <si>
    <t>MARC ANTHONY FREDERIC</t>
  </si>
  <si>
    <t>259-36 147th Road, Rosedale, NY 11422</t>
  </si>
  <si>
    <t>259-36 147th Road</t>
  </si>
  <si>
    <t>Block: 13683 Lot: 58</t>
  </si>
  <si>
    <t>703068/2019</t>
  </si>
  <si>
    <t>U.S. BANK NATIONAL vs. GARCIA, JUAN C. ETAL</t>
  </si>
  <si>
    <t>JUAN C. GARCIA</t>
  </si>
  <si>
    <t>32-47 78th Street, Jackson Heights, NY 11370</t>
  </si>
  <si>
    <t>32-47 78th Street</t>
  </si>
  <si>
    <t>Block: 1174, Lot: 55</t>
  </si>
  <si>
    <t>727647/2021</t>
  </si>
  <si>
    <t>CITIBANK, N.A. vs. VIDAL, GONZALO A. ETAL</t>
  </si>
  <si>
    <t>Citibank, N.A. as Trustee for the MLMI Trust Series 2006-HE5</t>
  </si>
  <si>
    <t>Gonzalo A. Vidal</t>
  </si>
  <si>
    <t>10553 171st Place, Jamaica, NY 11433</t>
  </si>
  <si>
    <t>10553 171st Place</t>
  </si>
  <si>
    <t>Block: 10241 Lot 65</t>
  </si>
  <si>
    <t>Dominic Chiariello, Esq.</t>
  </si>
  <si>
    <t>715618/2019</t>
  </si>
  <si>
    <t>U.S. BANK NATIONAL vs. LEMA, LUIS ETAL</t>
  </si>
  <si>
    <t>LUIS LEMA A/K/A LUIS E. LEMA; ROSA E. ZHAGNAY</t>
  </si>
  <si>
    <t>LUIS LEMA A/K/A LUIS E. LEMA</t>
  </si>
  <si>
    <t>ROSA E. ZHAGNAY</t>
  </si>
  <si>
    <t>4564 170TH STREET, FLUSHING, NEW YORK 11358</t>
  </si>
  <si>
    <t>4564 170TH STREET</t>
  </si>
  <si>
    <t>Block 5448, Lot 65</t>
  </si>
  <si>
    <t>710998/2023</t>
  </si>
  <si>
    <t>U.S. BANK NATIONAL ASSOCIATION vs. RAMSAROOP, MAHABEER et al</t>
  </si>
  <si>
    <t>MAHABEER RAMSAROOP</t>
  </si>
  <si>
    <t>168-70 92nd Road, Jamaica, NY 11433</t>
  </si>
  <si>
    <t>168-70 92nd Road</t>
  </si>
  <si>
    <t>Block 10211, Lot 56</t>
  </si>
  <si>
    <t>590 Madison Avenue, Suite 1800 New York, NY 10022</t>
  </si>
  <si>
    <t>723153/2022</t>
  </si>
  <si>
    <t>WILMINGTON TRUST, NATIONAL ASSOCIATION et al vs. JACKSON, ESTHER et al</t>
  </si>
  <si>
    <t>ESTHER JACKSON</t>
  </si>
  <si>
    <t>107-14 Princeton Street, Jamaica, NY 11435</t>
  </si>
  <si>
    <t>107-14 Princeton Street</t>
  </si>
  <si>
    <t>Section N/A Block 10080 Lot 20</t>
  </si>
  <si>
    <t>710312/2021</t>
  </si>
  <si>
    <t>MORGAN STANLEY MORTGAGE vs. HUNTER, FRANSHARA ETAL</t>
  </si>
  <si>
    <t>MORGAN STANLEY MORTGAGE CAPITAL HOLDINGS</t>
  </si>
  <si>
    <t>FRANSHARA HUNTER</t>
  </si>
  <si>
    <t>114-16 173rd Street, Saint Albans, NY 11434</t>
  </si>
  <si>
    <t>114-16 173rd Street</t>
  </si>
  <si>
    <t>Block: 12394 Lot: 102</t>
  </si>
  <si>
    <t>709173/2021</t>
  </si>
  <si>
    <t>MORTGAGE ASSETS MANAGEMENT, LLC vs. DARREN BUNN HEIR TO THE ESTATE OF JAMES HOWARD BUNN A/K/A JAMES BUNN ETAL</t>
  </si>
  <si>
    <t>MORTGAGE ASSETS MANAGEMENT, LLC F/K/A REVERSE MORTGAGE SOLUTIONS, INC.</t>
  </si>
  <si>
    <t>DARREN BUNN HEIR TO THE ESTATE OF JAMES HOWARD BUNN A/K/A JAMES BUNN</t>
  </si>
  <si>
    <t>DARREN BUNN HEIR TO THE ESTATE</t>
  </si>
  <si>
    <t>JAMES HOWARD BUNN</t>
  </si>
  <si>
    <t>11481 178TH ST, JAMAICA, NY 11434</t>
  </si>
  <si>
    <t>88-11 SUTPHIN BLVD</t>
  </si>
  <si>
    <t>10312-80</t>
  </si>
  <si>
    <t>717835/2021</t>
  </si>
  <si>
    <t>BSALTA 2005-07, vs. GARCIA, HERIBERTO ETAL</t>
  </si>
  <si>
    <t>BSALTA 2005-07, BANK OF NEW YORK</t>
  </si>
  <si>
    <t>HERIBERTO GARCIA</t>
  </si>
  <si>
    <t>18-32 121ST STREET, COLLEGE POINT, NY 11356</t>
  </si>
  <si>
    <t>18-32 121ST STREET</t>
  </si>
  <si>
    <t>Block 4082, Lot 33</t>
  </si>
  <si>
    <t>705152/2017</t>
  </si>
  <si>
    <t>U.S. BANK NATIONAL ASSOCIATION vs. FRERE, JOHN PETIT ETAL</t>
  </si>
  <si>
    <t>JOHN PETIT FRERE</t>
  </si>
  <si>
    <t>177-33 106TH ROAD, JAMAICA, NY 11433</t>
  </si>
  <si>
    <t>177-33 106TH ROAD</t>
  </si>
  <si>
    <t>10334-54</t>
  </si>
  <si>
    <t>704180/2015</t>
  </si>
  <si>
    <t>HSBC BANK USA NATIONAL vs. QUINTERO-CHAVEZ, MARTHA C</t>
  </si>
  <si>
    <t>HSBC BANK USA, NATIONAL</t>
  </si>
  <si>
    <t>MARTHA C. QUINTERO-CHAVEZ</t>
  </si>
  <si>
    <t>MARTHA C. QUINTERO CHAVEZ</t>
  </si>
  <si>
    <t>10-31A 115th Street, College Point, NY 11356</t>
  </si>
  <si>
    <t>10-31A 115th Street</t>
  </si>
  <si>
    <t>Block 4022, Lot 23</t>
  </si>
  <si>
    <t>STEIN, WIENER &amp; ROTH LLP</t>
  </si>
  <si>
    <t>1400 Old Country Road, Ste. 315, Westbury, NY</t>
  </si>
  <si>
    <t>GEORGE HEADLEY, Esq.</t>
  </si>
  <si>
    <t>700265/2015</t>
  </si>
  <si>
    <t>EMIGRANT BANK, AS vs. DICICCO, FRANK ETAL</t>
  </si>
  <si>
    <t>EMIGRANT BANK</t>
  </si>
  <si>
    <t>FRANK DICICCO</t>
  </si>
  <si>
    <t>FRANK DICICCO, INDIVIDUALLY</t>
  </si>
  <si>
    <t>AS ADMINISTRATOR ON THE ESTATE OF JOHN J. DICICCO SR. A/K/A JOHN J. DICICCO</t>
  </si>
  <si>
    <t>134-37 58th Road, Flushing, NY 11355</t>
  </si>
  <si>
    <t>134-37 58th Road</t>
  </si>
  <si>
    <t>Block 6365 and Lot 31</t>
  </si>
  <si>
    <t>Christina Cline, Esq.</t>
  </si>
  <si>
    <t>701361/2018</t>
  </si>
  <si>
    <t>DEUTSCHE BANK NATIONAL TRUST vs. LIVINGSTON, ROSE M. ETAL</t>
  </si>
  <si>
    <t>ROSE M. LIVINGSTON A/K/A ROSE LIVINGSTON</t>
  </si>
  <si>
    <t>17828 145th Avenue, Jamaica, New York 11434</t>
  </si>
  <si>
    <t>17828 145th Avenue</t>
  </si>
  <si>
    <t>Block 13317 Lot 30</t>
  </si>
  <si>
    <t>702749/2023</t>
  </si>
  <si>
    <t>LAKEVIEW LOAN SERVICING, LLC, vs. WILSON, JUANITA et al</t>
  </si>
  <si>
    <t>LAKEVIEW LOAN SERVICING, LLC</t>
  </si>
  <si>
    <t>JUANITA WILSON</t>
  </si>
  <si>
    <t>1383 PINSON STREET, FAR ROCKAWAY, NY 11691</t>
  </si>
  <si>
    <t>1383 PINSON STREET</t>
  </si>
  <si>
    <t>15660-40</t>
  </si>
  <si>
    <t>724606/2022</t>
  </si>
  <si>
    <t>U.S. BANK NATIONAL ASSOCIATION vs. PERSAUD, SURENDRA et al</t>
  </si>
  <si>
    <t>SURENDRA PERSAUD; NEW YORK STATE DEPARTMENT OF TAXATION AND FINANCE</t>
  </si>
  <si>
    <t>SURENDRA PERSAUD</t>
  </si>
  <si>
    <t>107-18 Guy R Brewer Blvd., Jamaica, NY 11433</t>
  </si>
  <si>
    <t>107-18 Guy R Brewer Blvd.</t>
  </si>
  <si>
    <t>Block 10140, Lot 8</t>
  </si>
  <si>
    <t>3550 Engineering Drive; Suite 260, Peachtree Corners, GA 30092</t>
  </si>
  <si>
    <t>708400/2021</t>
  </si>
  <si>
    <t>WILMINGTON SAVINGS FUND SOCIETY, FSB, vs. SIDBERRY, JIMMIE ETAL.</t>
  </si>
  <si>
    <t>THE BANK OF NEW YORK MELLON TRUST COMPANY, N.A</t>
  </si>
  <si>
    <t>JIMMIE SIDBERRY; JALEISHA ELLIOT; LINDA SIDBERRY</t>
  </si>
  <si>
    <t>JIMMIE SIDBERRY</t>
  </si>
  <si>
    <t>LINDA SIDBERRY</t>
  </si>
  <si>
    <t>111-35 202nd Street Saint Albans, NY 11412</t>
  </si>
  <si>
    <t>111-35 202nd Street</t>
  </si>
  <si>
    <t>(212) 524-5000</t>
  </si>
  <si>
    <t>STEVEN GOLDBERG, ESQ.</t>
  </si>
  <si>
    <t>718276/2022</t>
  </si>
  <si>
    <t>NYCTL 1998-2 TRUST et al vs. PRINCE HOME LLC et al</t>
  </si>
  <si>
    <t>PRINCE HOME LLC, NEW YORK CITY DEPARTMENT OF FINANCE</t>
  </si>
  <si>
    <t>PRINCE HOME LLC</t>
  </si>
  <si>
    <t>175-05 Liberty Avenue, Jamaica, NY 11433</t>
  </si>
  <si>
    <t>175-05 Liberty Avenue</t>
  </si>
  <si>
    <t>Block 10219 and Lot 311</t>
  </si>
  <si>
    <t>709552/2021</t>
  </si>
  <si>
    <t>U.S. BANK TRUST, N.A., vs. HENDRICKS, ASTRID ETAL</t>
  </si>
  <si>
    <t>U.S. BANK TRUST, N.A., AS TRUSTEE FOR LSF11 MASTER PARTICIPATION TRUST</t>
  </si>
  <si>
    <t>ASTRID HENDRICKS</t>
  </si>
  <si>
    <t>14406 a/k/a 144-06 116th Avenue, Jamaica, NY 11436</t>
  </si>
  <si>
    <t>14406 a/k/a 144-06 116th Avenue</t>
  </si>
  <si>
    <t>Block 12003 and Lot 3</t>
  </si>
  <si>
    <t>Darice Guzman Piotrowski, Esq.</t>
  </si>
  <si>
    <t>709061/2014</t>
  </si>
  <si>
    <t>THE BANK OF NEW YORK MELLON vs. LALOI, MARCO ETAL</t>
  </si>
  <si>
    <t>The Bank of New York Mellon fka The Bank of New York, as Trustee for Certificateholders of CWABS Inc., Asset- Backed Certificates, Series 2007-5</t>
  </si>
  <si>
    <t>Marco Laloi a/k/a Marco A. Laloi</t>
  </si>
  <si>
    <t>Marco A. Laloi</t>
  </si>
  <si>
    <t>9430 Lefferts Blvd, South Richmond Hill, NY 11419</t>
  </si>
  <si>
    <t>9430 Lefferts Blvd</t>
  </si>
  <si>
    <t>BLOCK: 9436, LOT: 20.</t>
  </si>
  <si>
    <t>Janet Lisa Brown, Esq.</t>
  </si>
  <si>
    <t>713084/2021</t>
  </si>
  <si>
    <t>DEUTSCHE BANK NATIONAL TRUST vs. ARROYO, CRISTOBALINA ETAL</t>
  </si>
  <si>
    <t>DEUTSCHE BANK NATIONAL TRUST COMPANY AS TRUSTEE FOR HSI</t>
  </si>
  <si>
    <t>CRISTOBALINA ARROYO</t>
  </si>
  <si>
    <t>91-37 114th Street, Richmond Hill, NY 11418</t>
  </si>
  <si>
    <t>91-37 114th Street</t>
  </si>
  <si>
    <t>Block: 9324, Lot: 52</t>
  </si>
  <si>
    <t>Stephanie Stutman Goldstone, Esq.</t>
  </si>
  <si>
    <t>708596/2023</t>
  </si>
  <si>
    <t>NYCTL 1998-2 Trust et al vs. Three Sons Real Estate LLC et al</t>
  </si>
  <si>
    <t>THREE SONS REAL ESTATE LLC</t>
  </si>
  <si>
    <t>THE CITY OF NEW YORK</t>
  </si>
  <si>
    <t>150-19 Liberty Avenue, Jamaica, New York 11433</t>
  </si>
  <si>
    <t>150-19 Liberty</t>
  </si>
  <si>
    <t>Block 10107, Lot 155</t>
  </si>
  <si>
    <t>June 17, 1889</t>
  </si>
  <si>
    <t>DAVID P. STICH, ESQ.</t>
  </si>
  <si>
    <t>521 Fifth Avenue, 17th Floor New York, New York 10175</t>
  </si>
  <si>
    <t>(646) 554-4421</t>
  </si>
  <si>
    <t>Susan Silverman, Esq.</t>
  </si>
  <si>
    <t>(718) 225-4740</t>
  </si>
  <si>
    <t>703600/2023</t>
  </si>
  <si>
    <t>U.S. BANK TRUST NATIONAL ASSOCIATION vs. RODRIGUEZ, ETHEL D. et al</t>
  </si>
  <si>
    <t>ETHEL D. RODRIGUEZ</t>
  </si>
  <si>
    <t>48-05 POYER STREET, ELMHURST, NEW YORK 11373</t>
  </si>
  <si>
    <t>48-05 POYER STREET</t>
  </si>
  <si>
    <t>Block 1543, Lot 1</t>
  </si>
  <si>
    <t>ANTHONY GELLUCCI, ESQ.</t>
  </si>
  <si>
    <t>Robertson, Anschutz, Schneid, Crane &amp; Partners, PLLQ</t>
  </si>
  <si>
    <t>316-280-7675</t>
  </si>
  <si>
    <t>721286/2020</t>
  </si>
  <si>
    <t>U.S. BANK NATIONAL ASSOC. vs. HAMILTON, ANTOINETTE R. ETAL.</t>
  </si>
  <si>
    <t>U.S. BANK NATIONAL ASSOCIATION, AS TRUSTEE</t>
  </si>
  <si>
    <t>ANTOINETTE R. HAMILTON</t>
  </si>
  <si>
    <t>91-53 195th Street, Hollis, New York 11423</t>
  </si>
  <si>
    <t>91 53 195TH STREET</t>
  </si>
  <si>
    <t>Block 10823 and Lot 1</t>
  </si>
  <si>
    <t>ORIT AVRAHAM, ESQ.</t>
  </si>
  <si>
    <t>701502/2021</t>
  </si>
  <si>
    <t>NATIONSTAR MORTGAGE LLC, vs. MORTGAGE ELECTRONIC REGIST</t>
  </si>
  <si>
    <t>106-07 177th Street, Jamaica, NY 11433</t>
  </si>
  <si>
    <t>106-07 177th Street</t>
  </si>
  <si>
    <t>Block 10334 and Lot 6</t>
  </si>
  <si>
    <t>703182/2020</t>
  </si>
  <si>
    <t>DEUTSCHE BANK NATIONAL TRUST COMPANY vs. PARRIS, AKILI et al</t>
  </si>
  <si>
    <t>DEUTSCHE BANK NATIONAL TRUST COMPANY, AS TRUSTEE FOR GSAA HOME EQUITY TRUST 2006-2, ASSET-BACKED CERTIFICATES</t>
  </si>
  <si>
    <t>AKILI PARRIS</t>
  </si>
  <si>
    <t>SHELDON MELVILLE</t>
  </si>
  <si>
    <t>14202 174TH STREET, JAMAICA, NEW YORK 11434</t>
  </si>
  <si>
    <t>14202 174TH STREET</t>
  </si>
  <si>
    <t>Block 12591, Lot 248</t>
  </si>
  <si>
    <t>RAS Boriskin/LLC</t>
  </si>
  <si>
    <t>900 Merchants Concourse, Westbury, NY 11590</t>
  </si>
  <si>
    <t>722933/2021</t>
  </si>
  <si>
    <t>DEUTSCHE BANK NATIONAL vs. GOPAUL, BIBI ETAL</t>
  </si>
  <si>
    <t>DEUTSCHE BANK NATIONAL TRUST</t>
  </si>
  <si>
    <t>BIBI GOPAUL</t>
  </si>
  <si>
    <t>9339 205TH ST, HOLLIS, NY 11423</t>
  </si>
  <si>
    <t>9339 205TH ST</t>
  </si>
  <si>
    <t>Block 10480, Lot 29</t>
  </si>
  <si>
    <t>Everett Hopkins, Esq.</t>
  </si>
  <si>
    <t>720433/2019</t>
  </si>
  <si>
    <t>Deutsche Bank National Trust Company vs. Fuchs, George et al</t>
  </si>
  <si>
    <t>GEORGE FUCHS A/K/A GEORGE FUCHS SR. A/K/A GEORGE P. FUCHS</t>
  </si>
  <si>
    <t>GEORGE FUCHS SR.</t>
  </si>
  <si>
    <t>8830 79th Avenue a/k/a 88-30 79th Avenue, Glendale a/k/a Ridgewood, New York 11385</t>
  </si>
  <si>
    <t>8830 79th Avenue a/k/a 88-30 79th Avenue</t>
  </si>
  <si>
    <t>Block 3860 Lot: 14</t>
  </si>
  <si>
    <t>KATE HENNING, ESQ.</t>
  </si>
  <si>
    <t>706002/2018</t>
  </si>
  <si>
    <t>HSBC BANK USA, N.A., AS vs. SPENCER, EDWARD ETAL</t>
  </si>
  <si>
    <t>HSBC BANK USA, Ν.Α., AS</t>
  </si>
  <si>
    <t>EDWARD SPENCER</t>
  </si>
  <si>
    <t>10401 212TH STREET, QUEENS VILLAGE, NY 11429</t>
  </si>
  <si>
    <t>10401 212TH STREET</t>
  </si>
  <si>
    <t>11098-37</t>
  </si>
  <si>
    <t>713322/2017</t>
  </si>
  <si>
    <t>NP162, LLC vs. HARDING, RICHARD</t>
  </si>
  <si>
    <t>NP162, LLC</t>
  </si>
  <si>
    <t>RICHARD HARDING</t>
  </si>
  <si>
    <t>137-45 Bedell Street, Springfield Gardens, NY 11413</t>
  </si>
  <si>
    <t>Block 13022 Lot 23</t>
  </si>
  <si>
    <t>28-07 Jackson Avenue, LONG ISLAND CITY, NY 11101</t>
  </si>
  <si>
    <t>726708/2021</t>
  </si>
  <si>
    <t>HSBC BANK USA, NATIONAL ASSOCIATION, vs. DANTZLER, JASON ETAL</t>
  </si>
  <si>
    <t>JASON DANTZLER</t>
  </si>
  <si>
    <t>137-23 Bedell Street, Queens, New York 11413</t>
  </si>
  <si>
    <t>137-23 Bedell Street</t>
  </si>
  <si>
    <t>Block 13022 Lot 34</t>
  </si>
  <si>
    <t>JOSE Q. HASBÚN, ESQ.</t>
  </si>
  <si>
    <t>10 Midland Ave, Suite 205, Port Chester, NY 10573</t>
  </si>
  <si>
    <t>718726/2018</t>
  </si>
  <si>
    <t>MORTGAGE ASSETS MANAGEMENT LLC vs. CHATSON, WILLIAM ETAL</t>
  </si>
  <si>
    <t>NATIONSTAR HECM ACQUISITION TRUST 2018-2</t>
  </si>
  <si>
    <t>HEIRS AND DISTRIBUTEES OF THE ESTATE OF WILLIAM CHATSON</t>
  </si>
  <si>
    <t>HEIRS OF THE ESTATE OF WILLIAM CHATSON</t>
  </si>
  <si>
    <t>CRYSTAL CHATSON</t>
  </si>
  <si>
    <t>15029 YATES ROAD, JAMAICA, NEW YORK 11433</t>
  </si>
  <si>
    <t>15029 YATES ROAD</t>
  </si>
  <si>
    <t>Block 10131, Lot 50</t>
  </si>
  <si>
    <t>709888/2017</t>
  </si>
  <si>
    <t>BANK OF NEW YORK MELLON TRUST vs. BLACKWELL, FRANK W ET AL</t>
  </si>
  <si>
    <t>FRANK W BLACKWELL III, EDITH WATKINS</t>
  </si>
  <si>
    <t>FRANK W BLACKWELL III</t>
  </si>
  <si>
    <t>EDITH WATKINS</t>
  </si>
  <si>
    <t>97-11 24TH AVENUE, EAST ELMHURST, NY 11369</t>
  </si>
  <si>
    <t>97-11 24TH AVENUE</t>
  </si>
  <si>
    <t>1091-40</t>
  </si>
  <si>
    <t>Robert Aiello, Esq.</t>
  </si>
  <si>
    <t>707116/2024</t>
  </si>
  <si>
    <t>BD SEVEN LLC vs. MYS, LLC et al</t>
  </si>
  <si>
    <t>BD SEVEN LLC</t>
  </si>
  <si>
    <t>MYS, LLC; YUZEF MULADZHANOV; ALEX WASSERMAN</t>
  </si>
  <si>
    <t>MYS, LLC</t>
  </si>
  <si>
    <t>YUZEF MULADZHANOV</t>
  </si>
  <si>
    <t>102-40 Jamaica Avenue, Queens NY 11418</t>
  </si>
  <si>
    <t>102-40 Jamaica Avenue</t>
  </si>
  <si>
    <t>Block: 9288, Lot: 20</t>
  </si>
  <si>
    <t>Harry Zubli Esq.</t>
  </si>
  <si>
    <t>1010 Northern Blvd., Suite 306, Great Neck, NY 11021</t>
  </si>
  <si>
    <t>516.487.5777</t>
  </si>
  <si>
    <t>717019/2022</t>
  </si>
  <si>
    <t>LAKEVIEW LOAN SERVICING, LLC vs. BAILEY, PETER et al</t>
  </si>
  <si>
    <t>PETER BAILEY; BESHION BEDDY BAILEY</t>
  </si>
  <si>
    <t>PETER BAILEY</t>
  </si>
  <si>
    <t>BESHION BEDDY BAILEY</t>
  </si>
  <si>
    <t>12001 170TH STREET, JAMAICA, NEW YORK 11434</t>
  </si>
  <si>
    <t>12001 170TH STREET</t>
  </si>
  <si>
    <t>Block 12387, Lot 117.</t>
  </si>
  <si>
    <t>709359/2021</t>
  </si>
  <si>
    <t>MTGLQ INVESTORS L.P vs. MONTOYA, JOSE E. ETAL</t>
  </si>
  <si>
    <t>FEDERAL                 NATIONAL                    MORTGAGE                       ASSOCIATION                 ("FANNIE          ΜΑΕ")</t>
  </si>
  <si>
    <t>JOSE E. MONTOYA</t>
  </si>
  <si>
    <t>JOSE E. MONTOYA A/K/A JOSE MONTOYA</t>
  </si>
  <si>
    <t>THE DIME SAVINGS FUND BANK OF WILLIAMSBURGH</t>
  </si>
  <si>
    <t>191-37 Murdock Street, St. Albans, New York 11412</t>
  </si>
  <si>
    <t>191-37 Murdock Street</t>
  </si>
  <si>
    <t>MICHEL LEE, ESQ.</t>
  </si>
  <si>
    <t>KNUCKLES, KOMOSINSKI &amp; MANFRO, LLP</t>
  </si>
  <si>
    <t>600 East Crescent Av, Ste 201 Upper Saddle River, NJ 07458</t>
  </si>
  <si>
    <t>(201) 391-0370</t>
  </si>
  <si>
    <t>703726/2016</t>
  </si>
  <si>
    <t>REVERSE MORTGAGE SOLUTIONS, vs. EDGAR ALEXANDER</t>
  </si>
  <si>
    <t>REVERSE MORTGAGE SOLUTIONS, INC.</t>
  </si>
  <si>
    <t>EDGAR ALEXANDER, ANGELA LYNCH</t>
  </si>
  <si>
    <t>EDGAR ALEXANDER</t>
  </si>
  <si>
    <t>ANGELA LYNCH</t>
  </si>
  <si>
    <t>24005 147TH AVENUE, ROSEDALE, NY 11422</t>
  </si>
  <si>
    <t>24005 147TH AVENUE</t>
  </si>
  <si>
    <t>13539-47</t>
  </si>
  <si>
    <t>708829/2016</t>
  </si>
  <si>
    <t>WELLS FARGO BANK, NA vs. RAMCHARIT, MARK ETAL</t>
  </si>
  <si>
    <t>WELLS FARGO BANK, ΝΑ,</t>
  </si>
  <si>
    <t>MARK RAMCHARIT, STANLEY MOONASAR,</t>
  </si>
  <si>
    <t>MARK RAMCHARIT</t>
  </si>
  <si>
    <t>STANLEY MOONASAR</t>
  </si>
  <si>
    <t>221-22 107th Avenue Queens Village, NY 11429</t>
  </si>
  <si>
    <t>221-22 107th Avenue</t>
  </si>
  <si>
    <t>BLOCK 11187 LOT 41</t>
  </si>
  <si>
    <t>Michael Jablonski, Esq.</t>
  </si>
  <si>
    <t>WOODS OVIATT GILMAN LLP</t>
  </si>
  <si>
    <t>700 Crossroads Building 2 State Street Rochester, NY 14614</t>
  </si>
  <si>
    <t>(855)227-5072</t>
  </si>
  <si>
    <t>713486/2018</t>
  </si>
  <si>
    <t>DEUTSCHE BANK NATIONAL TRUST vs. KELLEY, DEREK ETAL</t>
  </si>
  <si>
    <t>DEUTSCHE BANK NATIONAL TRUST COMPANY AS TRUSTEE FOR INDYMAC INDX MORTGAGE LOAN TRUST 2006-AR35, MORTGAGE PASS-THROUGH CERTIFICATES SERIES 2006-AR35,</t>
  </si>
  <si>
    <t>DEREK KELLEY; THOMASINA THOMAS</t>
  </si>
  <si>
    <t>DEREK KELLEY</t>
  </si>
  <si>
    <t>THOMASINA THOMAS</t>
  </si>
  <si>
    <t>123-20 IRWIN PLACE, JAMAICA, NEW YORK 11434</t>
  </si>
  <si>
    <t>123-20 IRWIN PLACE</t>
  </si>
  <si>
    <t>Block 12483, Lot 17.</t>
  </si>
  <si>
    <t>700221/2021</t>
  </si>
  <si>
    <t>NATIONSTAR MORTGAGE LLC. vs. GHANESS, CHITROWTIE ETAL</t>
  </si>
  <si>
    <t>CHITROWTIE GHANESS</t>
  </si>
  <si>
    <t>90-23 184TH STREET, HOLLIS, NY 11423</t>
  </si>
  <si>
    <t>90-23 184TH STREET</t>
  </si>
  <si>
    <t>9905-58</t>
  </si>
  <si>
    <t>720386/2022</t>
  </si>
  <si>
    <t>CARRINGTON MORTGAGE SERVICES LLC vs. MURPHY, TERITA et al</t>
  </si>
  <si>
    <t>TERITA MURPHY, HEIRS AND DISTRIBUTEES OF THE ESTATE OF PHILLIP C. MURPHY</t>
  </si>
  <si>
    <t>TERITA MURPHY</t>
  </si>
  <si>
    <t>25-45 97TH STREET, EAST ELMHURST, NEW YORK 11369</t>
  </si>
  <si>
    <t>25-45 97TH STREET</t>
  </si>
  <si>
    <t>Block 1371, Lot 68.</t>
  </si>
  <si>
    <t>709972/2015</t>
  </si>
  <si>
    <t>DEUTSCHE BANK NATIONAL TRUST vs. POLAKOVICH, ROBERT, ETAL.</t>
  </si>
  <si>
    <t>ROBERT POLAKOVICH</t>
  </si>
  <si>
    <t>85-47 168TH PLACE, JAMAICA, NY 11432</t>
  </si>
  <si>
    <t>85-47 168TH PLACE</t>
  </si>
  <si>
    <t>Block 9852, Lot 11</t>
  </si>
  <si>
    <t>723194/2020</t>
  </si>
  <si>
    <t>WELLS FARGO BANK, NA vs. DEAN, TAMMY ETAL.</t>
  </si>
  <si>
    <t>TAMMY DEAN, SAMUEL BRYANT, JR.</t>
  </si>
  <si>
    <t>TAMMY DEAN</t>
  </si>
  <si>
    <t>SAMUEL BRYANT, JR.</t>
  </si>
  <si>
    <t>219-08 131st Avenue, Laurelton, NY 11413</t>
  </si>
  <si>
    <t>219-08 131st Avenue</t>
  </si>
  <si>
    <t>Block: 12926 Lot: 238</t>
  </si>
  <si>
    <t>Irene M. Mattone, Esq.</t>
  </si>
  <si>
    <t>700389/2022</t>
  </si>
  <si>
    <t>BANK OF NEW YORK MELLON TRUST COMPANY, N.A. vs. SHELLEY ENNETT AS HEIR AT LAW, NEXT OF KIN AND DISTRIBUTEE OF THE ESTATE OF VIVIAN O. WATSON A/K/A VIVIAN WATSON; ETAL</t>
  </si>
  <si>
    <t>SHELLEY ENNETT</t>
  </si>
  <si>
    <t>119 43 200TH STREET, SAINT ALBANS, NY 11412</t>
  </si>
  <si>
    <t>119 43 200TH STREET</t>
  </si>
  <si>
    <t>12656-35</t>
  </si>
  <si>
    <t>Eric D. Subin, Esq.</t>
  </si>
  <si>
    <t>716342/2021</t>
  </si>
  <si>
    <t>DEUTSCHE BANK NATIONAL TRUST vs. CRUZ, RICHARD ETAL.</t>
  </si>
  <si>
    <t>RICHARD CRUZ</t>
  </si>
  <si>
    <t>1620 150TH STREET, WHITESTONE, NY 11357</t>
  </si>
  <si>
    <t>1620 150TH STREET</t>
  </si>
  <si>
    <t>WHITESTONE</t>
  </si>
  <si>
    <t>4665-28</t>
  </si>
  <si>
    <t>900 Merchants Concourse, Westbury, New York 11590</t>
  </si>
  <si>
    <t>Helen P. Eichler, Esq.</t>
  </si>
  <si>
    <t>717224/2021</t>
  </si>
  <si>
    <t>NATIONSTAR MORTGAGE LLC vs. GOODE, TASHA ETAL</t>
  </si>
  <si>
    <t>NATIONSTAR MORTGAGE LLC D/B/A CHAMPION</t>
  </si>
  <si>
    <t>TASHA GOODE AS ADMINISTRATOR FOR THE ESTATE</t>
  </si>
  <si>
    <t>TASHA GOODE AS ADMINISTRATOR</t>
  </si>
  <si>
    <t>LAFAYETTE GOODE A/K/A GEORGE GOODE</t>
  </si>
  <si>
    <t>131-43 227 Street, Laurelton, New York 11413</t>
  </si>
  <si>
    <t>131-43 227 Street</t>
  </si>
  <si>
    <t>Block: 12937 Lot: 98</t>
  </si>
  <si>
    <t>1 Huntington Quadrangle, Suite 4N25, Melville, New York 10801</t>
  </si>
  <si>
    <t>723248/2021</t>
  </si>
  <si>
    <t>MORTGAGE ASSETS MANAGEMENT LLC vs. WHITEHEAD, MARIE A., ETAL</t>
  </si>
  <si>
    <t>FINANCIAL FREEDOM SENIOR FUNDING CORPORATION</t>
  </si>
  <si>
    <t>MARIE A. WHITEHEAD</t>
  </si>
  <si>
    <t>130-46 217TH ST, SPRINGFIELD GARDENS, NEW YORK 11413</t>
  </si>
  <si>
    <t>130-46 217TH ST</t>
  </si>
  <si>
    <t>Block 12892, Lot 77</t>
  </si>
  <si>
    <t>516-280-7675</t>
  </si>
  <si>
    <t>702956/2013</t>
  </si>
  <si>
    <t>WELLS FARGO BANK, N.A. vs. KHANOM, JOBEDA ETAL</t>
  </si>
  <si>
    <t>JOBEDA KHANOM</t>
  </si>
  <si>
    <t>132-09 115th Avenue, Jamaica, NY 11420</t>
  </si>
  <si>
    <t>132-09 115th Avenue</t>
  </si>
  <si>
    <t>Block: 11658 Lot: 41</t>
  </si>
  <si>
    <t>718543/2023</t>
  </si>
  <si>
    <t>CONTINENTAL HOME LOANS vs. SHARMA, SWAPNA ETAL</t>
  </si>
  <si>
    <t>FREEDOM MORTGAGE CORPORATION</t>
  </si>
  <si>
    <t>SWAPNA SHARMA</t>
  </si>
  <si>
    <t>87-72 112TH STREET, RICHMOND HILL, NY 11418</t>
  </si>
  <si>
    <t>87-72 112TH STREET</t>
  </si>
  <si>
    <t>RICHMOND HILL</t>
  </si>
  <si>
    <t>Block: 9301 Lot: 72</t>
  </si>
  <si>
    <t>ROSICKI, ROSICKI &amp; ASSOCIATES, P.C.</t>
  </si>
  <si>
    <t>2 Summit Court, Suite 301, Fishkill, New York, 12524</t>
  </si>
  <si>
    <t>845.897.1600</t>
  </si>
  <si>
    <t>Mitchell L. Kaufman, Esq.</t>
  </si>
  <si>
    <t>707412/2018</t>
  </si>
  <si>
    <t>BANK OF NEW YORK MELLON TRUST COMPANY, N.A. vs. CONSTANCE L BUNN, ETAL</t>
  </si>
  <si>
    <t>CIT BANK, Ν.Α.</t>
  </si>
  <si>
    <t>JAMES W. GARNER</t>
  </si>
  <si>
    <t>20641 46TH AVENUE, BAYSIDE, NEW YORK 11361</t>
  </si>
  <si>
    <t>20641 46TH AVENUE</t>
  </si>
  <si>
    <t>BAYSIDE</t>
  </si>
  <si>
    <t>Block 7307, Lot 47</t>
  </si>
  <si>
    <t>900 Merchants Concourse, Suite 106, Westbury, NY 11590</t>
  </si>
  <si>
    <t>714765/2018</t>
  </si>
  <si>
    <t>CITIBANK NA vs. BROWN, POLLY P. ETAL</t>
  </si>
  <si>
    <t>Citibank NA</t>
  </si>
  <si>
    <t>Polly P. Brown</t>
  </si>
  <si>
    <t>221-31 114th Road, Jamaica, NY 11411</t>
  </si>
  <si>
    <t>221-31 114th Road</t>
  </si>
  <si>
    <t>Block: 11240, Lot: 69</t>
  </si>
  <si>
    <t>Gregory Laspina, Esq.</t>
  </si>
  <si>
    <t>715137/2017</t>
  </si>
  <si>
    <t>U.S. BANK NATIONAL ASSOCIATION, vs. CURTIS, PATRICIA ETAL</t>
  </si>
  <si>
    <t>WILMINGTON SAVINGS FUND SOCIETY, FSB, DBA CHRISTIANA TRUST, NOT                 INDIVIDUALLY BUT AS TRUSTEE FOR CARLSBAD FUNDING MORTGAGE TRUST,</t>
  </si>
  <si>
    <t>PATRICIA CURTIS</t>
  </si>
  <si>
    <t>21050 NASVILLE BOULEVARD, CAMBRIA HEIGHTS, NEW YORK 11411</t>
  </si>
  <si>
    <t>21050 NASVILLE BOULEVARD</t>
  </si>
  <si>
    <t>BLOCK 11054, LOT 10</t>
  </si>
  <si>
    <t>DAVID A. GALLO &amp; ASSOCIATES LLP</t>
  </si>
  <si>
    <t>99 Powerhouse Road, Roslyn Heights, New York 11577</t>
  </si>
  <si>
    <t>516.583.5330</t>
  </si>
  <si>
    <t>701887/2015</t>
  </si>
  <si>
    <t>WELLS FARGO BANK, NATIONAL vs. ALLEYNE, MARIEANNE ETAL</t>
  </si>
  <si>
    <t>WELLS FARGO BANK, NATIONAL ASSOCIATION AS TRUSTEE FOR OPTION ONE MORTGAGE LOAN TRUST 2007-5, ASSET-BACKED CERTIFICATES, SERIES 2007-5</t>
  </si>
  <si>
    <t>MARIEANNE ALLEYNE</t>
  </si>
  <si>
    <t>11726 168th Street, Jamaica, NY 11434</t>
  </si>
  <si>
    <t>11726 168th Street</t>
  </si>
  <si>
    <t>Block 12364, Lot 121</t>
  </si>
  <si>
    <t>Kara L. Brown, Esq.</t>
  </si>
  <si>
    <t>Clarfield, Okon, Salomone &amp; Pincus, P.L.</t>
  </si>
  <si>
    <t>425 RXR. Plaza, Uniondale, NY 11556</t>
  </si>
  <si>
    <t>703888/2019</t>
  </si>
  <si>
    <t>WILMINGTON SAVINGS FUND SOCIETY FSB, vs. THORNTON, MICHAEL ETAL</t>
  </si>
  <si>
    <t>MICHAEL THORNTON</t>
  </si>
  <si>
    <t>19447 111TH ROAD, SAINT ALBANS, NY 11412</t>
  </si>
  <si>
    <t>19447 111TH ROAD</t>
  </si>
  <si>
    <t>10952-6</t>
  </si>
  <si>
    <t>706812/2022</t>
  </si>
  <si>
    <t>MORTGAGE ASSETS MANAGEMENT, LLC vs. BENJAMIN, LINDA GAYNOR et al</t>
  </si>
  <si>
    <t>LINDA GAYNOR BENJAMIN</t>
  </si>
  <si>
    <t>HEIRS OF THE ESTATE OF DAISY MILLER A/K/A DAISY SHULER</t>
  </si>
  <si>
    <t>147-23 230TH STREET, ROSEDALE, NEW YORK 11413</t>
  </si>
  <si>
    <t>147-23 230TH STREET</t>
  </si>
  <si>
    <t>Block 13710, Lot 53</t>
  </si>
  <si>
    <t>706016/2022</t>
  </si>
  <si>
    <t>U.S. BANK NATIONAL ASSOCIATION vs. YOUNG, SHAJUANA et al</t>
  </si>
  <si>
    <t>SHAJUANA YOUNG</t>
  </si>
  <si>
    <t>218-41 140TH AVENUE, SPRINGFIELD GARDENS, NEW YORK 11413</t>
  </si>
  <si>
    <t>218-41 140TH AVENUE</t>
  </si>
  <si>
    <t>Block 13037, Lot 58</t>
  </si>
  <si>
    <t>Robertson, Anschutz, Schueid, Crane &amp; Partners PLLC</t>
  </si>
  <si>
    <t>701194/2022</t>
  </si>
  <si>
    <t>METRO CITY BANK vs. PISCIOTTA, MICHAEL E et al</t>
  </si>
  <si>
    <t>MICHAEL E. PISCIOTTA A/K/A MICHAEL PISCIOTTA</t>
  </si>
  <si>
    <t>152-18 Union Turnpike Apt #201-N a/k/a Unit 1N, Flushing, New York 11367</t>
  </si>
  <si>
    <t>152-18 Union Turnpike Apt #201-N</t>
  </si>
  <si>
    <t>Block 6713 Lot 2009</t>
  </si>
  <si>
    <t>DEANA CHELI, ESQ.</t>
  </si>
  <si>
    <t>720623/2019</t>
  </si>
  <si>
    <t>FAREVERSE LLC I/L/T/N FINANCE OF AMERICA REVERSE LLC vs. LADISLAW III, PETER, AS HEIR AND DISTRIBUTEE OF THE ESTATE OF MARILYN LADISLAW etal.</t>
  </si>
  <si>
    <t>FAREVERSE LLC I/L/T/N FINANCE OF AMERICA REVERSE LLC</t>
  </si>
  <si>
    <t>HEIRS AND DISTRIBUTEES OF THE ESTATE OF MARILYN LADISLAW</t>
  </si>
  <si>
    <t>4320 247TH STREET, LITTLE NECK, NEW YORK 11363</t>
  </si>
  <si>
    <t>4320 247TH STREET</t>
  </si>
  <si>
    <t>LITTLE NECK</t>
  </si>
  <si>
    <t>Block 8112, Lot 58</t>
  </si>
  <si>
    <t>705527/2014</t>
  </si>
  <si>
    <t>NATIONSTAR MORTGAGE LLC vs. SATTAUR, MICHELLE</t>
  </si>
  <si>
    <t>MICHELLE SATTAUR A/K/A MICHELLE A. SATTAUR</t>
  </si>
  <si>
    <t>MICHELLE SATTAUR</t>
  </si>
  <si>
    <t>MICHELLE A. SATTAUR</t>
  </si>
  <si>
    <t>133-44 122nd Street, South Ozone Park, New York 11420</t>
  </si>
  <si>
    <t>133-44 122nd Street</t>
  </si>
  <si>
    <t>Block 11742 and Lot 64.</t>
  </si>
  <si>
    <t>707601/2023</t>
  </si>
  <si>
    <t>U.S. BANK NATIONAL ASSOCIATION, AS TRUSTEE vs. TANG-NIAN, ANDREW et al</t>
  </si>
  <si>
    <t>ANDREW TANG-NIAN</t>
  </si>
  <si>
    <t>543 BEACH 72ND STREET, ARVERNE, NY 11692</t>
  </si>
  <si>
    <t>543 BEACH 72ND STREET</t>
  </si>
  <si>
    <t>ARVERNE</t>
  </si>
  <si>
    <t>16065-39</t>
  </si>
  <si>
    <t>701783/2022</t>
  </si>
  <si>
    <t>MORTGAGE ASSETS MANAGEMENT, LLC, vs. GRANT, JACQUELYN et al</t>
  </si>
  <si>
    <t>JACQUELYN GRANT A/K/A JACQUELYN G. JOHNSON, AS HEIR AND DISTRIBUTEE OF THE ESTATE OF VESTA COUCH</t>
  </si>
  <si>
    <t xml:space="preserve">JACQUELYN G. JOHNSON, AS HEIR </t>
  </si>
  <si>
    <t>19130 113TH AVENUE, SAINT ALBANS, NEW YORK 11412</t>
  </si>
  <si>
    <t>19130 113TH AVENUE</t>
  </si>
  <si>
    <t>Block 10987, Lot 19</t>
  </si>
  <si>
    <t>701260/2020</t>
  </si>
  <si>
    <t>U.S. BANK NATIONAL ASSOCIATION vs. ALVELO, MARISOL ETAL</t>
  </si>
  <si>
    <t>MARISOL ALVELO; UM CAPITAL, LLC</t>
  </si>
  <si>
    <t>MARISOL ALVELO</t>
  </si>
  <si>
    <t>13105 135TH ST, SOUTH OZONE PARK, NEW YORK 11420</t>
  </si>
  <si>
    <t>13105 135TH ST</t>
  </si>
  <si>
    <t>Block 11780, Lot 119</t>
  </si>
  <si>
    <t>700530/2018</t>
  </si>
  <si>
    <t>FEDERAL NATIONAL MORTGAGE vs. ALLISA LEWIS BRYANT, AS PROP. EXEC. AND AS HEIR AND DIST. OF THE EST. OF LINDA E. TURNER</t>
  </si>
  <si>
    <t>HEIRS AND DISTRIBUTEES OF THE ESTATE OF LINDA E. TURNER</t>
  </si>
  <si>
    <t>ALLISA LEWIS BRYANT</t>
  </si>
  <si>
    <t>13146 229TH STREET, LAURELTON, NEW YORK 11413</t>
  </si>
  <si>
    <t>13146 229TH STREET</t>
  </si>
  <si>
    <t>Block 12958, Lot 57</t>
  </si>
  <si>
    <t>ALECIA C. DANIEL, ESQ.</t>
  </si>
  <si>
    <t>710344/2023</t>
  </si>
  <si>
    <t>HSBC BANK USA, N.A. vs. JACK, YVONNE et al</t>
  </si>
  <si>
    <t>YVONNE JACK</t>
  </si>
  <si>
    <t>9260 215TH PLACE, QUEENS VILLAGE, NY 11428</t>
  </si>
  <si>
    <t>9260 215TH PLACE</t>
  </si>
  <si>
    <t>10633-29</t>
  </si>
  <si>
    <t>702871/2012</t>
  </si>
  <si>
    <t>HSBC BANK USA, NATIONAL vs. BHARAT, ROHAN ETAL.</t>
  </si>
  <si>
    <t>ROHAN BHARAT</t>
  </si>
  <si>
    <t>114-63 114TH ST, SOUTH OZONE PARK, NY 11420</t>
  </si>
  <si>
    <t>114-63 114TH ST</t>
  </si>
  <si>
    <t>Block 11706, Lot 15</t>
  </si>
  <si>
    <t>702997/2019</t>
  </si>
  <si>
    <t>METROPOLITAN LIFE INSURANCE vs. WAHID, ABDUL ETAL</t>
  </si>
  <si>
    <t>METROPOLITAN LIFE INSURANCE COMPANY</t>
  </si>
  <si>
    <t>ABDUL WAHID; RAJLAKSHMI WAHID; 214 ST</t>
  </si>
  <si>
    <t>ABDUL WAHID</t>
  </si>
  <si>
    <t>RAJLAKSHMI WAHID</t>
  </si>
  <si>
    <t>88 -17 214TH STREET, QUEENS VILLAGE, NEW YORK 11427</t>
  </si>
  <si>
    <t>88-17 214TH STREET</t>
  </si>
  <si>
    <t>Block 10672, Lot 15</t>
  </si>
  <si>
    <t>703341/2021</t>
  </si>
  <si>
    <t>U.S. BANK NATIONAL vs. JOHNS, GREGORY T. ETAL</t>
  </si>
  <si>
    <t>GREGORY T. JOHNS, DAWN JOHNS</t>
  </si>
  <si>
    <t>GREGORY T. JOHNS</t>
  </si>
  <si>
    <t>DAWN JOHNS</t>
  </si>
  <si>
    <t>361 Beach 69th Street, Arverne, NY 11692</t>
  </si>
  <si>
    <t>361 Beach 69th Street</t>
  </si>
  <si>
    <t>Block 16081, Lot 6</t>
  </si>
  <si>
    <t>721468/2021</t>
  </si>
  <si>
    <t>WELLS FARGO BANK, N.A. vs. RAMGEET, ANDREW ETAL.</t>
  </si>
  <si>
    <t>ANDREW RAMGEET</t>
  </si>
  <si>
    <t>219 BEACH 44TH STREET_A/K/A ROCKAWAY BEACH BOULEVARD, FAR ROCKAWAY, NY 11691 N/K/A 223 BEACH 44TH STREET, FAR ROCKAWAY, NY 11691</t>
  </si>
  <si>
    <t>219 BEACH 44TH STREET</t>
  </si>
  <si>
    <t>15853-97 F/K/A 15853-Part of 95</t>
  </si>
  <si>
    <t>704354/2017</t>
  </si>
  <si>
    <t>HSBC BANK USA, NATIONAL vs. BEATRICE STEWART</t>
  </si>
  <si>
    <t>BEATRICE STEWART</t>
  </si>
  <si>
    <t>241-30 132ND ROAD, ROSEDALE, NY 11422</t>
  </si>
  <si>
    <t>241-30 132ND ROAD</t>
  </si>
  <si>
    <t>12978-20</t>
  </si>
  <si>
    <t>Susan M. Silverman, Esq.</t>
  </si>
  <si>
    <t>704648/2015</t>
  </si>
  <si>
    <t>DEUTSCHE BANK NATIONAL TRUST vs. PERLA, NISSAN</t>
  </si>
  <si>
    <t>DEUTSCHE BANK NATIONAL TRUST COMPANY, AS TRUSTEE OF THE HOME EQUITY MORTGAGE LOAN</t>
  </si>
  <si>
    <t>NISSAN PERLA</t>
  </si>
  <si>
    <t>404 Beach 43rd Street, Arverne, New York 11691</t>
  </si>
  <si>
    <t>404 Beach 43rd Street</t>
  </si>
  <si>
    <t>Section 6103 Block 15690 Lot 4</t>
  </si>
  <si>
    <t>DONNA AKINRELE, ESQ.</t>
  </si>
  <si>
    <t>145 Huguenot St., Suite 210, New Rochelle, New York 10801</t>
  </si>
  <si>
    <t>713685/2024</t>
  </si>
  <si>
    <t>THIRD BIRCH, LLC vs. BOLIVAR, ANDRE et al</t>
  </si>
  <si>
    <t>THIRD BIRCH, LLC</t>
  </si>
  <si>
    <t>ANDRE BOLIVAR, FRANCOIS MICHAUD</t>
  </si>
  <si>
    <t>ANDRE BOLIVAR</t>
  </si>
  <si>
    <t>FRANCOIS MICHAUD</t>
  </si>
  <si>
    <t>194-43 113th Road, Saint Albans, NY 11412</t>
  </si>
  <si>
    <t>194-43 113th Road</t>
  </si>
  <si>
    <t>Block 10989 Lot 111</t>
  </si>
  <si>
    <t>Michal Falkowski, Esq.</t>
  </si>
  <si>
    <t>28-07 Jackson Avenue, 5th Floor, Long Island City, NY 11101</t>
  </si>
  <si>
    <t>212.390.8872</t>
  </si>
  <si>
    <t>711893/2016</t>
  </si>
  <si>
    <t>CITIBANK, N.A. vs. Nassau County Public Administrator,</t>
  </si>
  <si>
    <t>Citibank, N.A.</t>
  </si>
  <si>
    <t>Nassau County Public Administrator</t>
  </si>
  <si>
    <t>533 Beach 67th Street, Arverne, NY 11692</t>
  </si>
  <si>
    <t>533 Beach 67th Street</t>
  </si>
  <si>
    <t>Block: 16034, Lot: 55</t>
  </si>
  <si>
    <t>Lawrence Mark Litwack, Esq.</t>
  </si>
  <si>
    <t>710389/2017</t>
  </si>
  <si>
    <t>FINANCE OF AMERICA REVERSE LLC vs. BOYD, ROBERT M ETAL</t>
  </si>
  <si>
    <t>AMERICAN ADVISORS GROUP</t>
  </si>
  <si>
    <t>ROBERT M. BOYD AS HEIR AT LAW AND NEXT OF KIN OF AMMIE O. OGLESBY; ETHEL OGLESBY AS HEIR AT LAW AND NEXT OF KIN OF AMMIE O. OGLESBY</t>
  </si>
  <si>
    <t>ROBERT M. BOYD AS HEIR AT LAW AND NEXT OF KIN OF AMMIE O. OGLESBY</t>
  </si>
  <si>
    <t xml:space="preserve">ETHEL OGLESBY AS HEIR </t>
  </si>
  <si>
    <t>117-28 223RD STREET, CAMBRIA HEIGHTS, NY 11411</t>
  </si>
  <si>
    <t>117-28 223RD STREET</t>
  </si>
  <si>
    <t>Block: 12739        Lot: 19</t>
  </si>
  <si>
    <t>Uwayne A. Mitchell, Esq.</t>
  </si>
  <si>
    <t>516.741.2585</t>
  </si>
  <si>
    <t>709608/2014</t>
  </si>
  <si>
    <t>U.S. BANK NA., vs. DOSUNMU, LANRAY ETAL</t>
  </si>
  <si>
    <t>U.S. BANK NA, SUCCESSOR IN INTEREST TO BANK OF AMERICA, ΝΑ, SUCCESSOR IN INTEREST TO LASALLE BANK NA, AS TRUSTEE, ON BEHALF OF THE HOLDERS OF THE WASHINGTON MUTUAL MORTGAGE PASS-THROUGH CERTIFICATES, WMALT SERIES 2006-6</t>
  </si>
  <si>
    <t>LANRAY DOSUNMU</t>
  </si>
  <si>
    <t>241-19 148TH ROAD, ROSEDALE, NY 11422</t>
  </si>
  <si>
    <t>241-19 148TH ROAD</t>
  </si>
  <si>
    <t>13745-49</t>
  </si>
  <si>
    <t>717898/2023</t>
  </si>
  <si>
    <t>HSBC BANK USA, NATIONAL ASSOCIATION vs. FRANKLIN, URIAH K. et al</t>
  </si>
  <si>
    <t>HSBC BANK USA, NATIONAL ASSOCIATION, AS TRUSTEE FOR ACE SECURITIES CORP. HOME EQUITY LOAN TRUST, SERIES 2006-OP2</t>
  </si>
  <si>
    <t>URIAH K. FRANKLIN; SANDRA FRANKLIN</t>
  </si>
  <si>
    <t>URIAH K. FRANKLIN</t>
  </si>
  <si>
    <t>SANDRA FRANKLIN</t>
  </si>
  <si>
    <t>14-15 SUNNYSIDE AVENUE ΑΚΑ 14-15 SUNNYSIDE STREET, FAR ROCKAWAY, NY 11691</t>
  </si>
  <si>
    <t>14-15 SUNNYSIDE AVENUE ΑΚΑ 14-15 SUNNYSIDE STREET</t>
  </si>
  <si>
    <t>Block 15681, Lot 55</t>
  </si>
  <si>
    <t>SARA Z. BOR SKIN, ESQ.</t>
  </si>
  <si>
    <t>Robertson, Anschutz, Schneid, Crane &amp; Partners, PLLO</t>
  </si>
  <si>
    <t>700653/2015</t>
  </si>
  <si>
    <t>DEUTSCHE BANK NATIONAL TRUST vs. DAVINO, CIRO ETAL.</t>
  </si>
  <si>
    <t>DEUTSCHE BANK NATIONAL TRUST COMPANY, AS TRUSTEE FOR MORGAN STANLEY ABS CAPITAL I INC. TRUST, SERIES 2007-SEA1</t>
  </si>
  <si>
    <t>CIRO DAVINO</t>
  </si>
  <si>
    <t>161-03 83RD ST, HOWARD BEACH, NY 11414</t>
  </si>
  <si>
    <t>161-03 83RD ST</t>
  </si>
  <si>
    <t>HOWARD BEACH</t>
  </si>
  <si>
    <t>14039-1</t>
  </si>
  <si>
    <t>Scott H. Siller, Esq.</t>
  </si>
  <si>
    <t>713967/2019</t>
  </si>
  <si>
    <t>WELLS FARGO BANK, NATIONAL vs. GUTIERREZ, DIOVANI ETAL</t>
  </si>
  <si>
    <t>DIOVANI GUTIERREZ</t>
  </si>
  <si>
    <t>9124 85th Street, Woodhaven, New York 11421</t>
  </si>
  <si>
    <t>9124 85th Street</t>
  </si>
  <si>
    <t>Block 8978 Lot 17</t>
  </si>
  <si>
    <t>Lois M. Vitti, Esq.</t>
  </si>
  <si>
    <t>710759/2021</t>
  </si>
  <si>
    <t>U.S. BANK NATIONAL ASSOCIATION vs. SMITH, ARTHUR ETAL</t>
  </si>
  <si>
    <t>ARTHUR SMITH A/K/A ARTHUR P. SMITH MARTHA MOMODU A/K/A MARTHA SMITH</t>
  </si>
  <si>
    <t>ARTHUR SMITH</t>
  </si>
  <si>
    <t>MARTHA MOMODU</t>
  </si>
  <si>
    <t>119-04 144th St, Jamaica, New York 11436</t>
  </si>
  <si>
    <t>119-04 144th St</t>
  </si>
  <si>
    <t>Block 12023 Lot 97</t>
  </si>
  <si>
    <t>GEORGE FRANKE, ESQ.</t>
  </si>
  <si>
    <t>MCCABE, WEISBERG &amp; CONWAY LLC</t>
  </si>
  <si>
    <t>Gregory Newman, Esq</t>
  </si>
  <si>
    <t>714058/2020</t>
  </si>
  <si>
    <t>DEUTSCHE BANK NATIONAL TRUST COMPANY vs. FIGEROUX, BEULAH et al</t>
  </si>
  <si>
    <t>BEULAH FIGEROUX F/K/A BEULAH BLAKE</t>
  </si>
  <si>
    <t>14306 FERNDALE AVENUE, JAMAICA, NY 11435</t>
  </si>
  <si>
    <t>14306 FERNDALE AVENUE</t>
  </si>
  <si>
    <t>11935-3</t>
  </si>
  <si>
    <t>701866/2021</t>
  </si>
  <si>
    <t>HSBC BANK USA vs. VIERA, SANDRA ETAL</t>
  </si>
  <si>
    <t>SANDRA VIERA, GUSTAVO VIERA, and JOHN DOE</t>
  </si>
  <si>
    <t>SANDRA VIERA</t>
  </si>
  <si>
    <t>GUSTAVO VIERA</t>
  </si>
  <si>
    <t>92-05 101st Avenue Ozone Park, NY 11416</t>
  </si>
  <si>
    <t>92-05 101st Avenue</t>
  </si>
  <si>
    <t>Block 9066 Lot 37</t>
  </si>
  <si>
    <t>Kristin M. Bolduc, Esq.</t>
  </si>
  <si>
    <t>500 Bausch &amp; Lomb Place Rochester, New York 14604</t>
  </si>
  <si>
    <t>720068/2022</t>
  </si>
  <si>
    <t>WILMINGTON SAVINGS FUND SOCIETY, FSB vs. DUTAN, SEGUNDO A. ETAL.</t>
  </si>
  <si>
    <t>WILMINGTON SAVINGS FUND SOCIETY, FSB, D/B/A CHRISTIANA TRUST, NOT</t>
  </si>
  <si>
    <t>SEGUNDO A. DUTAN</t>
  </si>
  <si>
    <t>108-25 38th Avenue, Corona, NY 11368</t>
  </si>
  <si>
    <t>108-25 38th Avenue</t>
  </si>
  <si>
    <t>Block 1778 Lot 63</t>
  </si>
  <si>
    <t>Jjais Forde, Esq.</t>
  </si>
  <si>
    <t>722456/2022</t>
  </si>
  <si>
    <t>DEUTSCHE BANK NATIONAL TRUST COMPANY, vs. GRANT, STACIE C. et al</t>
  </si>
  <si>
    <t>STACIE C. GRANT A/K/A STACIE N. C. GRANT</t>
  </si>
  <si>
    <t>STACIE C. GRANT</t>
  </si>
  <si>
    <t>STACIE N. C. GRANT</t>
  </si>
  <si>
    <t>115-112 225TH STREET, CAMBRIA HEIGHTS, NY 11411</t>
  </si>
  <si>
    <t>115-112 225TH STREET</t>
  </si>
  <si>
    <t>11306-57</t>
  </si>
  <si>
    <t>707223/2021</t>
  </si>
  <si>
    <t>DEUTSCHE BANK NATIONAL TRUST vs. JAINARINE, INDRA ETAL</t>
  </si>
  <si>
    <t>INDRA JAINARINE A/K/A INDIRA JAINARINE</t>
  </si>
  <si>
    <t>INDRA JAINARINE</t>
  </si>
  <si>
    <t>INDIRA JAINARINE</t>
  </si>
  <si>
    <t>85-18 95TH AVE, OZONE PARK, NY 11416</t>
  </si>
  <si>
    <t>85-18 95TH AVE</t>
  </si>
  <si>
    <t>OZONE PARK</t>
  </si>
  <si>
    <t>9021-9</t>
  </si>
  <si>
    <t>719776/2021</t>
  </si>
  <si>
    <t>WELLS FARGO BANK, N.A. vs. PARAY, JEEWAN ETAL.</t>
  </si>
  <si>
    <t>WELLS FARGO BANK, N.A., AS TRUSTEE FOR THE MLMI TRUST SERIES 2005-FF6</t>
  </si>
  <si>
    <t>JEEWAN PARAY; PAULINE MARSHALL</t>
  </si>
  <si>
    <t>JEEWAN PARAY</t>
  </si>
  <si>
    <t>PAULINE MARSHALL</t>
  </si>
  <si>
    <t>133-17 124TH STREET, SOUTH OZONE PARK, NEW YORK 11420-3218</t>
  </si>
  <si>
    <t>133-17 124TH STREET</t>
  </si>
  <si>
    <t>11420-3218</t>
  </si>
  <si>
    <t>Block 11783, Lot 28</t>
  </si>
  <si>
    <t>CHRISTOPHER LESTAK, ESQ.</t>
  </si>
  <si>
    <t>725199/2021</t>
  </si>
  <si>
    <t>BANK OF AMERICA, N.A., vs. KENT, LUCAS ETAL.</t>
  </si>
  <si>
    <t>LUCAS KENT A/K/A LUCAS A. KENT, BEVERLY KENT A/K/A BEVERLY A. KENT</t>
  </si>
  <si>
    <t>LUCAS KENT A/K/A LUCAS A. KENT</t>
  </si>
  <si>
    <t>BEVERLY A. KENT</t>
  </si>
  <si>
    <t>16519 116TH AVENUE, JAMAICA, NY 11434</t>
  </si>
  <si>
    <t>16519 116TH AVENUE</t>
  </si>
  <si>
    <t>Block: 12340 Lot: 67</t>
  </si>
  <si>
    <t>ARTHUR N. TERRANOVA, ESQ.</t>
  </si>
  <si>
    <t>702436/2022</t>
  </si>
  <si>
    <t>FEDERAL NATIONAL MORTGAGE vs. O'BRIEN, LINTON J. ETAL</t>
  </si>
  <si>
    <t>LINTON J. O'BRIEN</t>
  </si>
  <si>
    <t>213-16 102 AVENUE, QUEENS VILLAGE, NY 11429</t>
  </si>
  <si>
    <t>213-16 102 AVENUE</t>
  </si>
  <si>
    <t>Block 11088, Lot 22</t>
  </si>
  <si>
    <t>A DATA LIST LLC, https://www.adatalist.com | Sheet: Auction Sales | File: QUEENSXCOMBINED.xlsx | Generated: August 21, 2025 at 12:26 PM</t>
  </si>
  <si>
    <t>Visit A DATA LIST LLC</t>
  </si>
  <si>
    <t>Our data is compiled almost solely from available court documents.  We use our best efforts to ensure that the data is timely and accurate. However, errors may occur in the compilation of this material.  Therefore, we will not be responsible or liable for any errors, omissions or inaccuracies contained in the information presented herein; nor for any actual or consequential damages relating to its usage or reliance therein.</t>
  </si>
  <si>
    <t>DATE FILED</t>
  </si>
  <si>
    <t>723276/2025</t>
  </si>
  <si>
    <t>MARCOS ARVELO</t>
  </si>
  <si>
    <t>11464 198th Street Saint Albans, NY 11412</t>
  </si>
  <si>
    <t>11464 198th Street</t>
  </si>
  <si>
    <t>Block 11014 Lot 37</t>
  </si>
  <si>
    <t>(716) 204-1700</t>
  </si>
  <si>
    <t>723341/2025</t>
  </si>
  <si>
    <t xml:space="preserve">OLUFEMI FALADE AS HEIR </t>
  </si>
  <si>
    <t>OLUFEMI FALADE AS HEIR</t>
  </si>
  <si>
    <t>NICOLE FALADE A/K/A NICOLE THEVENOT</t>
  </si>
  <si>
    <t>104-15 219th Street, Queens Village, New York 11429</t>
  </si>
  <si>
    <t>104-15 219th Street</t>
  </si>
  <si>
    <t>Block 11164 Lot 37</t>
  </si>
  <si>
    <t>MELISSA S. DICERBO, ESQ.</t>
  </si>
  <si>
    <t>723343/2025</t>
  </si>
  <si>
    <t>CALVIN RICHARDSON</t>
  </si>
  <si>
    <t>KECIA RICHARDSON</t>
  </si>
  <si>
    <t>145-61 Farmers Boulevard, Jamaica, New York</t>
  </si>
  <si>
    <t>145-61 Farmers Boulevard</t>
  </si>
  <si>
    <t>Section: N/A, Block: 13332, Lot: 131</t>
  </si>
  <si>
    <t>723349/2025</t>
  </si>
  <si>
    <t>NEWREZ LLC D/B/A SHELLPOINT MORTGAGE</t>
  </si>
  <si>
    <t>ROSALEENE HICKEY</t>
  </si>
  <si>
    <t>MARTIN BUGGY</t>
  </si>
  <si>
    <t>61-70 67th Street, Middle Village, NY 11379</t>
  </si>
  <si>
    <t>61-70 67th Street</t>
  </si>
  <si>
    <t>Block: 2782 Lot: 35</t>
  </si>
  <si>
    <t>Lili Roarke, Esq.</t>
  </si>
  <si>
    <t>PINCUS &amp; TARAB, ATTORNEYS AT LAW, PLLC.</t>
  </si>
  <si>
    <t>516-699-8902</t>
  </si>
  <si>
    <t>723381/2025</t>
  </si>
  <si>
    <t>FEDERAL HOME LOAN MORTGAGE CORPORATION</t>
  </si>
  <si>
    <t>NADIA NUNEZ</t>
  </si>
  <si>
    <t>86-10 SUTTER AVENUE, OZONE PARK, NEW YORK 11417</t>
  </si>
  <si>
    <t>86-10 SUTTER AVENUE</t>
  </si>
  <si>
    <t>SECTION: 50 BLOCK: 11349 LOT: 5</t>
  </si>
  <si>
    <t>723384/2025</t>
  </si>
  <si>
    <t>PHH MORTGAGE CORPORATION</t>
  </si>
  <si>
    <t>MARGARET BIANCHI</t>
  </si>
  <si>
    <t>HEIRS OF THE ESTATE OF JEANETTE BRACCIA</t>
  </si>
  <si>
    <t>57-18 73RD PLACE, MASPETH, NY 11378</t>
  </si>
  <si>
    <t>57-18 73RD PLACE</t>
  </si>
  <si>
    <t>Block 2810, Lot 36</t>
  </si>
  <si>
    <t>KELLY R. FABER, ESQ.</t>
  </si>
  <si>
    <t>723389/2025</t>
  </si>
  <si>
    <t>WILMINGTON SAVINGS FUND</t>
  </si>
  <si>
    <t>MARIA CORTEZ</t>
  </si>
  <si>
    <t>25-27 99th Street, East Elmhurst, NY 11369</t>
  </si>
  <si>
    <t>25-27 99th Street</t>
  </si>
  <si>
    <t>Block 1373 and Lot 87</t>
  </si>
  <si>
    <t>Kyle E. Landrigan, Esq.</t>
  </si>
  <si>
    <t>723535/2025</t>
  </si>
  <si>
    <t>UKRAINIAN NATIONAL FEDERAL CREDIT UNION</t>
  </si>
  <si>
    <t>HAIKAZ POGOSIAN</t>
  </si>
  <si>
    <t>206-21 46TH ROAD LLC</t>
  </si>
  <si>
    <t>206-21 46th Road, Bayside, New York 11361</t>
  </si>
  <si>
    <t>206-21 46th Road</t>
  </si>
  <si>
    <t>Block: 7308; Lot: 71</t>
  </si>
  <si>
    <t>Timothy J. Fierst, Esq.</t>
  </si>
  <si>
    <t>THE FIERST LAW GROUP, P.C.</t>
  </si>
  <si>
    <t>462 Sagamore Avenue, Suite 2, East Williston, New York 11596</t>
  </si>
  <si>
    <t>(516) 586-4221</t>
  </si>
  <si>
    <t>723556/2025</t>
  </si>
  <si>
    <t>DEUTSCHE BANK NATIONAL</t>
  </si>
  <si>
    <t>MARIA CASTRO DE-DUTAN</t>
  </si>
  <si>
    <t>MANUEL E. DUTAN GUAMAN</t>
  </si>
  <si>
    <t>22-17 97TH STREET, EAST ELMHURST, NEW YORK 11369</t>
  </si>
  <si>
    <t>22-17 97TH STREET</t>
  </si>
  <si>
    <t>Block 1074, Lot 66</t>
  </si>
  <si>
    <t>Robertson, Anschutz, Schneid,                            Crane &amp; Partners, PLLC</t>
  </si>
  <si>
    <t>723672/2025</t>
  </si>
  <si>
    <t>TALY ROSENTHAL</t>
  </si>
  <si>
    <t>67-11 Utopia Parkway, Flushing, NY 11365</t>
  </si>
  <si>
    <t>67-11 Utopia Parkway</t>
  </si>
  <si>
    <t>Block 7107, Lot 65</t>
  </si>
  <si>
    <t>Margaret Burke Tarab, Esq.</t>
  </si>
  <si>
    <t>723676/2025</t>
  </si>
  <si>
    <t>CITIBANK, N.A.</t>
  </si>
  <si>
    <t>RUBY REID</t>
  </si>
  <si>
    <t>RUBY REID A/K/A RUBY Z. REID</t>
  </si>
  <si>
    <t>123 Grosvenor Street, Douglaston, NY 11363</t>
  </si>
  <si>
    <t>123 Grosvenor Street</t>
  </si>
  <si>
    <t>Douglaston</t>
  </si>
  <si>
    <t>Block 8026 and Lot 34</t>
  </si>
  <si>
    <t>723680/2025</t>
  </si>
  <si>
    <t>MAITREE SARMA</t>
  </si>
  <si>
    <t xml:space="preserve"> MAITREE SHARMA</t>
  </si>
  <si>
    <t>SHYAMAL SARMA</t>
  </si>
  <si>
    <t>2539 70th Street, East Elmhurst, New York 11370</t>
  </si>
  <si>
    <t>2539 70th Street</t>
  </si>
  <si>
    <t>Section, Block &amp; Lot: Block: 1047 Lot: 64</t>
  </si>
  <si>
    <t>Sean P. Williams, Esq.</t>
  </si>
  <si>
    <t>400 Meridian Centre Blvd., Suite 200, Rochester, New York 14618</t>
  </si>
  <si>
    <t>(585) 760-8218</t>
  </si>
  <si>
    <t>723730/2025</t>
  </si>
  <si>
    <t>Tjamal Noni, Orisha Jordan</t>
  </si>
  <si>
    <t>Tjamal Noni</t>
  </si>
  <si>
    <t>Orisha Jordan</t>
  </si>
  <si>
    <t>221 Beach 80th Street, Unit 3K Far Rockaway, NY 11693</t>
  </si>
  <si>
    <t>221 Beach 80th Street, Unit 3K</t>
  </si>
  <si>
    <t>Block: 16113 Lot: 1026</t>
  </si>
  <si>
    <t>723781/2025</t>
  </si>
  <si>
    <t>ROBEL R. DELA CRUZ</t>
  </si>
  <si>
    <t xml:space="preserve">ROBEL R. DELA CRUZ </t>
  </si>
  <si>
    <t>MARIO COLLAZO</t>
  </si>
  <si>
    <t>80-91 CYPRESS AVENUE, RIDGEWOOD, NEW YORK 11385</t>
  </si>
  <si>
    <t>80-91 CYPRESS AVENUE</t>
  </si>
  <si>
    <t>RIDGEWOOD</t>
  </si>
  <si>
    <t>Block 3731, Lot 79.</t>
  </si>
  <si>
    <t>Robertson, Anschutz, Schneid,_x000D_Crane &amp; Partners, PLLC</t>
  </si>
  <si>
    <t>723838/2025</t>
  </si>
  <si>
    <t>DENNIS CARR, JR.</t>
  </si>
  <si>
    <t>THERESA A. CARR AND DENNIS T. CARR, SR.</t>
  </si>
  <si>
    <t>4814 196th Street, Flushing, NY 11365</t>
  </si>
  <si>
    <t>4814 196th Street</t>
  </si>
  <si>
    <t>Block 5631 Lot 34</t>
  </si>
  <si>
    <t>723845/2025</t>
  </si>
  <si>
    <t>CARRINGTON MORTGAGE SERVICES</t>
  </si>
  <si>
    <t>CHRISTA M. SCHWARTZ</t>
  </si>
  <si>
    <t>11103 76th Avenue, Forest Hills, New York 11375</t>
  </si>
  <si>
    <t>11103 76th Avenue</t>
  </si>
  <si>
    <t>Block: 3339 Lot: 77</t>
  </si>
  <si>
    <t>723872/2025</t>
  </si>
  <si>
    <t>CARIDAD HERRERA</t>
  </si>
  <si>
    <t>6773 EXETER STREET, FOREST HILLS, NY 11375</t>
  </si>
  <si>
    <t>6773 EXETER STREET</t>
  </si>
  <si>
    <t>Section: 17 Block: 3189, Lot: 63</t>
  </si>
  <si>
    <t>Monica G. Christie, Esq.</t>
  </si>
  <si>
    <t>723878/2025</t>
  </si>
  <si>
    <t>LONGBRIDGE FINANCIAL, LLC</t>
  </si>
  <si>
    <t>DORI BARNES, KEVIN POU</t>
  </si>
  <si>
    <t>DORI BARNES</t>
  </si>
  <si>
    <t>KEVIN POU</t>
  </si>
  <si>
    <t>116-30 205TH STREET, SAINT ALBANS, NEW YORK 11412</t>
  </si>
  <si>
    <t>116-30 205TH STREET</t>
  </si>
  <si>
    <t>Block 11076, Lot 53</t>
  </si>
  <si>
    <t>Robertson, Anschutz Schneid, Crane &amp; Partners, PLLC</t>
  </si>
  <si>
    <t>723886/2025</t>
  </si>
  <si>
    <t>RANDOM EQUITIES LLC</t>
  </si>
  <si>
    <t>OLYMBIANS LLC</t>
  </si>
  <si>
    <t>34-30 28th Street, Astoria, New York 11106</t>
  </si>
  <si>
    <t>34-30 28th Street</t>
  </si>
  <si>
    <t>Block 583, Lot 40</t>
  </si>
  <si>
    <t>David K. Fiveson, Esq.</t>
  </si>
  <si>
    <t>BUTLER, FITZGERALD &amp; FIVESON</t>
  </si>
  <si>
    <t>9 East 45th Street, Ninth Floor, New York, New York 10017</t>
  </si>
  <si>
    <t>(212) 615-2200</t>
  </si>
  <si>
    <t>724001/2025</t>
  </si>
  <si>
    <t>U.S. BANK TRUST COMPANY</t>
  </si>
  <si>
    <t>KAROLY BARDOS</t>
  </si>
  <si>
    <t>98-76 Queens Boulevard, #5N, Rego Park, NY 11374</t>
  </si>
  <si>
    <t>98-76 Queens Boulevard, #5N</t>
  </si>
  <si>
    <t>Block: 3159 Lot: 1070</t>
  </si>
  <si>
    <t>Gregory Sanda, Esq.</t>
  </si>
  <si>
    <t>404-474-7149</t>
  </si>
  <si>
    <t>A DATA LIST LLC, https://www.adatalist.com | Sheet: Lis Pendens | File: QUEENSXCOMBINED.xlsx | Generated: August 21, 2025 at 12:26 PM</t>
  </si>
  <si>
    <t>Our data is compiled almost solely from available court documents.  We use our best efforts to ensure that the data is timely and accurate. However, errors may occur in the compilation of this material.      Therefore, we will not be responsible or liable for any errors, omissions or inaccuracies contained in the information presented herein; nor for any actual or consequential damages relating to its usage or reliance therein.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</si>
</sst>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mm/dd/yyyy"/>
    <numFmt numFmtId="166" formatCode="\$#,##0.00"/>
  </numFmts>
  <fonts count="8" x14ac:knownFonts="1">
    <font>
      <sz val="11"/>
      <color theme="1"/>
      <name val="Calibri"/>
      <family val="2"/>
      <scheme val="minor"/>
    </font>
    <font>
      <b/>
      <sz val="11"/>
      <color rgb="FF000000"/>
      <name val="Calibri"/>
    </font>
    <font>
      <sz val="11"/>
      <color rgb="FFFF0000"/>
      <name val="Calibri"/>
    </font>
    <font>
      <sz val="11"/>
      <name val="Calibri"/>
    </font>
    <font>
      <b/>
      <sz val="11"/>
      <color rgb="FFFFFFFF"/>
      <name val="Calibri"/>
    </font>
    <font>
      <i/>
      <sz val="10"/>
      <color rgb="FF888888"/>
      <name val="Calibri"/>
    </font>
    <font>
      <i/>
      <u/>
      <sz val="10"/>
      <color rgb="FF0000FF"/>
      <name val="Calibri"/>
    </font>
    <font>
      <i/>
      <sz val="9"/>
      <color rgb="FF666666"/>
      <name val="Calibri"/>
    </font>
  </fonts>
  <fills count="9">
    <fill>
      <patternFill patternType="none"/>
    </fill>
    <fill>
      <patternFill patternType="gray125"/>
    </fill>
    <fill>
      <patternFill patternType="solid">
        <fgColor rgb="FFFFFFFF"/>
        <bgColor rgb="FFFFFFFF"/>
      </patternFill>
    </fill>
    <fill>
      <patternFill patternType="solid">
        <fgColor rgb="FF305496"/>
        <bgColor rgb="FF305496"/>
      </patternFill>
    </fill>
    <fill>
      <patternFill patternType="solid">
        <fgColor rgb="FFFFFACD"/>
        <bgColor rgb="FFFFFACD"/>
      </patternFill>
    </fill>
    <fill>
      <patternFill patternType="solid">
        <fgColor rgb="FFDDEBF7"/>
        <bgColor rgb="FFDDEBF7"/>
      </patternFill>
    </fill>
    <fill>
      <patternFill patternType="solid">
        <fgColor rgb="FFF2F2F2"/>
        <bgColor rgb="FFF2F2F2"/>
      </patternFill>
    </fill>
    <fill>
      <patternFill patternType="solid">
        <fgColor rgb="FFFFFFE0"/>
        <bgColor rgb="FFFFFFE0"/>
      </patternFill>
    </fill>
    <fill>
      <patternFill patternType="solid">
        <fgColor rgb="FFB4C6E7"/>
        <bgColor rgb="FFB4C6E7"/>
      </patternFill>
    </fill>
  </fills>
  <borders count="1">
    <border>
      <left/>
      <right/>
      <top/>
      <bottom/>
      <diagonal/>
    </border>
  </borders>
  <cellStyleXfs count="1">
    <xf numFmtId="0" fontId="0" fillId="0" borderId="0"/>
  </cellStyleXfs>
  <cellXfs count="20">
    <xf numFmtId="0" fontId="0" fillId="0" borderId="0" xfId="0"/>
    <xf numFmtId="0" fontId="0" fillId="2" borderId="0" xfId="0" applyFill="1"/>
    <xf numFmtId="0" fontId="4" fillId="3" borderId="0" xfId="0" applyFont="1" applyFill="1" applyAlignment="1">
      <alignment horizontal="center" vertical="center" wrapText="1"/>
    </xf>
    <xf numFmtId="165" fontId="1" fillId="4" borderId="0" xfId="0" applyNumberFormat="1" applyFont="1" applyFill="1"/>
    <xf numFmtId="0" fontId="0" fillId="5" borderId="0" xfId="0" applyFill="1"/>
    <xf numFmtId="0" fontId="2" fillId="2" borderId="0" xfId="0" applyFont="1" applyFill="1"/>
    <xf numFmtId="0" fontId="0" fillId="2" borderId="0" xfId="0" applyFill="1" applyAlignment="1">
      <alignment horizontal="center"/>
    </xf>
    <xf numFmtId="166" fontId="3" fillId="2" borderId="0" xfId="0" applyNumberFormat="1" applyFont="1" applyFill="1"/>
    <xf numFmtId="165" fontId="3" fillId="2" borderId="0" xfId="0" applyNumberFormat="1" applyFont="1" applyFill="1"/>
    <xf numFmtId="0" fontId="0" fillId="6" borderId="0" xfId="0" applyFill="1"/>
    <xf numFmtId="165" fontId="1" fillId="7" borderId="0" xfId="0" applyNumberFormat="1" applyFont="1" applyFill="1"/>
    <xf numFmtId="0" fontId="0" fillId="8" borderId="0" xfId="0" applyFill="1"/>
    <xf numFmtId="0" fontId="2" fillId="6" borderId="0" xfId="0" applyFont="1" applyFill="1"/>
    <xf numFmtId="0" fontId="0" fillId="6" borderId="0" xfId="0" applyFill="1" applyAlignment="1">
      <alignment horizontal="center"/>
    </xf>
    <xf numFmtId="166" fontId="3" fillId="6" borderId="0" xfId="0" applyNumberFormat="1" applyFont="1" applyFill="1"/>
    <xf numFmtId="165" fontId="3" fillId="6" borderId="0" xfId="0" applyNumberFormat="1" applyFont="1" applyFill="1"/>
    <xf numFmtId="0" fontId="7" fillId="0" borderId="0" xfId="0" applyFont="1" applyAlignment="1">
      <alignment horizontal="center" vertical="center"/>
    </xf>
    <xf numFmtId="0" fontId="0" fillId="0" borderId="0" xfId="0"/>
    <xf numFmtId="0" fontId="5" fillId="0" borderId="0" xfId="0" applyFont="1" applyAlignment="1">
      <alignment horizontal="center" vertical="center"/>
    </xf>
    <xf numFmtId="0" fontId="6" fillId="0" borderId="0" xfId="0" applyFont="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 /></Relationships>
</file>

<file path=xl/drawings/_rels/drawing2.xml.rels><?xml version="1.0" encoding="UTF-8" standalone="yes"?>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oneCellAnchor>
    <xdr:from>
      <xdr:col>2</xdr:col>
      <xdr:colOff>0</xdr:colOff>
      <xdr:row>0</xdr:row>
      <xdr:rowOff>0</xdr:rowOff>
    </xdr:from>
    <xdr:ext cx="2381250" cy="76200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0</xdr:row>
      <xdr:rowOff>0</xdr:rowOff>
    </xdr:from>
    <xdr:ext cx="2381250" cy="762000"/>
    <xdr:pic>
      <xdr:nvPicPr>
        <xdr:cNvPr id="2" name="Image 1" descr="Pictur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hyperlink" Target="https://www.adatalist.com" TargetMode="External" /></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 /><Relationship Id="rId1" Type="http://schemas.openxmlformats.org/officeDocument/2006/relationships/hyperlink" Target="https://www.adatalist.com"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77"/>
  <sheetViews>
    <sheetView tabSelected="1" topLeftCell="M1" workbookViewId="0">
      <pane ySplit="5" topLeftCell="M370" activePane="bottomLeft" state="frozen"/>
      <selection activeCell="M1" sqref="M1"/>
      <selection pane="bottomLeft" activeCell="N381" sqref="N381"/>
    </sheetView>
  </sheetViews>
  <sheetFormatPr defaultRowHeight="15" x14ac:dyDescent="0.2"/>
  <cols>
    <col min="1" max="2" width="9.953125" customWidth="1"/>
    <col min="3" max="3" width="18.0234375" customWidth="1"/>
    <col min="4" max="4" width="11.97265625" customWidth="1"/>
    <col min="5" max="5" width="9.953125" customWidth="1"/>
    <col min="6" max="6" width="11.97265625" customWidth="1"/>
    <col min="7" max="7" width="9.953125" customWidth="1"/>
    <col min="8" max="8" width="50.04296875" customWidth="1"/>
    <col min="9" max="12" width="39.953125" customWidth="1"/>
    <col min="13" max="13" width="55.01953125" customWidth="1"/>
    <col min="14" max="14" width="11.97265625" customWidth="1"/>
    <col min="15" max="15" width="29.99609375" customWidth="1"/>
    <col min="16" max="16" width="20.04296875" customWidth="1"/>
    <col min="17" max="18" width="9.953125" customWidth="1"/>
    <col min="19" max="19" width="50.04296875" customWidth="1"/>
    <col min="20" max="20" width="14.9296875" customWidth="1"/>
    <col min="21" max="22" width="13.046875" customWidth="1"/>
    <col min="23" max="23" width="14.9296875" customWidth="1"/>
    <col min="24" max="24" width="13.046875" customWidth="1"/>
    <col min="25" max="25" width="14.9296875" customWidth="1"/>
    <col min="26" max="26" width="18.96484375" customWidth="1"/>
    <col min="27" max="27" width="39.953125" customWidth="1"/>
    <col min="28" max="28" width="22.05859375" customWidth="1"/>
    <col min="29" max="29" width="18.0234375" customWidth="1"/>
    <col min="30" max="31" width="11.97265625" customWidth="1"/>
  </cols>
  <sheetData>
    <row r="1" spans="1:3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27.75" x14ac:dyDescent="0.2">
      <c r="A5" s="2" t="s">
        <v>0</v>
      </c>
      <c r="B5" s="2" t="s">
        <v>1</v>
      </c>
      <c r="C5" s="2" t="s">
        <v>2</v>
      </c>
      <c r="D5" s="2" t="s">
        <v>3</v>
      </c>
      <c r="E5" s="2" t="s">
        <v>4</v>
      </c>
      <c r="F5" s="2" t="s">
        <v>5</v>
      </c>
      <c r="G5" s="2" t="s">
        <v>6</v>
      </c>
      <c r="H5" s="2" t="s">
        <v>7</v>
      </c>
      <c r="I5" s="2" t="s">
        <v>8</v>
      </c>
      <c r="J5" s="2" t="s">
        <v>9</v>
      </c>
      <c r="K5" s="2" t="s">
        <v>10</v>
      </c>
      <c r="L5" s="2" t="s">
        <v>11</v>
      </c>
      <c r="M5" s="2" t="s">
        <v>12</v>
      </c>
      <c r="N5" s="2" t="s">
        <v>13</v>
      </c>
      <c r="O5" s="2" t="s">
        <v>14</v>
      </c>
      <c r="P5" s="2" t="s">
        <v>15</v>
      </c>
      <c r="Q5" s="2" t="s">
        <v>16</v>
      </c>
      <c r="R5" s="2" t="s">
        <v>17</v>
      </c>
      <c r="S5" s="2" t="s">
        <v>18</v>
      </c>
      <c r="T5" s="2" t="s">
        <v>19</v>
      </c>
      <c r="U5" s="2" t="s">
        <v>20</v>
      </c>
      <c r="V5" s="2" t="s">
        <v>21</v>
      </c>
      <c r="W5" s="2" t="s">
        <v>22</v>
      </c>
      <c r="X5" s="2" t="s">
        <v>23</v>
      </c>
      <c r="Y5" s="2" t="s">
        <v>24</v>
      </c>
      <c r="Z5" s="2" t="s">
        <v>25</v>
      </c>
      <c r="AA5" s="2" t="s">
        <v>26</v>
      </c>
      <c r="AB5" s="2" t="s">
        <v>27</v>
      </c>
      <c r="AC5" s="2" t="s">
        <v>28</v>
      </c>
      <c r="AD5" s="2" t="s">
        <v>29</v>
      </c>
      <c r="AE5" s="2" t="s">
        <v>30</v>
      </c>
    </row>
    <row r="6" spans="1:31" x14ac:dyDescent="0.2">
      <c r="A6" s="1" t="s">
        <v>31</v>
      </c>
      <c r="B6" s="1"/>
      <c r="C6" s="3">
        <v>45891</v>
      </c>
      <c r="D6" s="1" t="s">
        <v>32</v>
      </c>
      <c r="E6" s="1" t="s">
        <v>33</v>
      </c>
      <c r="F6" s="4" t="s">
        <v>34</v>
      </c>
      <c r="G6" s="1">
        <v>2022</v>
      </c>
      <c r="H6" s="1" t="s">
        <v>35</v>
      </c>
      <c r="I6" s="1" t="s">
        <v>36</v>
      </c>
      <c r="J6" s="1" t="s">
        <v>37</v>
      </c>
      <c r="K6" s="1" t="s">
        <v>38</v>
      </c>
      <c r="L6" s="1" t="s">
        <v>39</v>
      </c>
      <c r="M6" s="1" t="s">
        <v>40</v>
      </c>
      <c r="N6" s="5" t="str">
        <f>HYPERLINK("https://www.google.com/maps/search/?api=1&amp;query=17323 106th Avenue, Jamaica, NY 11433", "OPEN MAP")</f>
        <v>OPEN MAP</v>
      </c>
      <c r="O6" s="1" t="s">
        <v>41</v>
      </c>
      <c r="P6" s="1" t="s">
        <v>42</v>
      </c>
      <c r="Q6" s="1" t="s">
        <v>43</v>
      </c>
      <c r="R6" s="1">
        <v>11433</v>
      </c>
      <c r="S6" s="6" t="s">
        <v>44</v>
      </c>
      <c r="T6" s="7">
        <v>407825.62</v>
      </c>
      <c r="U6" s="8">
        <v>45811</v>
      </c>
      <c r="V6" s="8"/>
      <c r="W6" s="7"/>
      <c r="X6" s="8"/>
      <c r="Y6" s="7"/>
      <c r="Z6" s="1"/>
      <c r="AA6" s="1" t="s">
        <v>45</v>
      </c>
      <c r="AB6" s="1" t="s">
        <v>46</v>
      </c>
      <c r="AC6" s="1" t="s">
        <v>47</v>
      </c>
      <c r="AD6" s="1" t="s">
        <v>48</v>
      </c>
      <c r="AE6" s="1"/>
    </row>
    <row r="7" spans="1:31" x14ac:dyDescent="0.2">
      <c r="A7" s="9" t="s">
        <v>31</v>
      </c>
      <c r="B7" s="9"/>
      <c r="C7" s="10">
        <v>45891</v>
      </c>
      <c r="D7" s="9" t="s">
        <v>49</v>
      </c>
      <c r="E7" s="9" t="s">
        <v>33</v>
      </c>
      <c r="F7" s="11" t="s">
        <v>50</v>
      </c>
      <c r="G7" s="9">
        <v>2015</v>
      </c>
      <c r="H7" s="9" t="s">
        <v>51</v>
      </c>
      <c r="I7" s="9" t="s">
        <v>52</v>
      </c>
      <c r="J7" s="9" t="s">
        <v>53</v>
      </c>
      <c r="K7" s="9" t="s">
        <v>54</v>
      </c>
      <c r="L7" s="9" t="s">
        <v>55</v>
      </c>
      <c r="M7" s="9" t="s">
        <v>56</v>
      </c>
      <c r="N7" s="12" t="str">
        <f>HYPERLINK("https://www.google.com/maps/search/?api=1&amp;query=2730 BUTLER STREET, EAST ELMHURST, NY 11369", "OPEN MAP")</f>
        <v>OPEN MAP</v>
      </c>
      <c r="O7" s="9" t="s">
        <v>57</v>
      </c>
      <c r="P7" s="9" t="s">
        <v>58</v>
      </c>
      <c r="Q7" s="9" t="s">
        <v>43</v>
      </c>
      <c r="R7" s="9">
        <v>11369</v>
      </c>
      <c r="S7" s="13" t="s">
        <v>59</v>
      </c>
      <c r="T7" s="14"/>
      <c r="U7" s="15">
        <v>43602</v>
      </c>
      <c r="V7" s="15"/>
      <c r="W7" s="14"/>
      <c r="X7" s="15"/>
      <c r="Y7" s="14"/>
      <c r="Z7" s="9"/>
      <c r="AA7" s="9" t="s">
        <v>60</v>
      </c>
      <c r="AB7" s="9" t="s">
        <v>61</v>
      </c>
      <c r="AC7" s="9"/>
      <c r="AD7" s="9" t="s">
        <v>62</v>
      </c>
      <c r="AE7" s="9"/>
    </row>
    <row r="8" spans="1:31" x14ac:dyDescent="0.2">
      <c r="A8" s="1" t="s">
        <v>31</v>
      </c>
      <c r="B8" s="1"/>
      <c r="C8" s="3">
        <v>45891</v>
      </c>
      <c r="D8" s="1" t="s">
        <v>49</v>
      </c>
      <c r="E8" s="1"/>
      <c r="F8" s="4" t="s">
        <v>63</v>
      </c>
      <c r="G8" s="1">
        <v>2024</v>
      </c>
      <c r="H8" s="1" t="s">
        <v>64</v>
      </c>
      <c r="I8" s="1" t="s">
        <v>65</v>
      </c>
      <c r="J8" s="1" t="s">
        <v>66</v>
      </c>
      <c r="K8" s="1" t="s">
        <v>66</v>
      </c>
      <c r="L8" s="1"/>
      <c r="M8" s="1" t="s">
        <v>67</v>
      </c>
      <c r="N8" s="5" t="str">
        <f>HYPERLINK("https://www.google.com/maps/search/?api=1&amp;query=136-31 41st Avenue, Unit 2B, Flushing, NY 11355", "OPEN MAP")</f>
        <v>OPEN MAP</v>
      </c>
      <c r="O8" s="1" t="s">
        <v>68</v>
      </c>
      <c r="P8" s="1" t="s">
        <v>69</v>
      </c>
      <c r="Q8" s="1" t="s">
        <v>43</v>
      </c>
      <c r="R8" s="1">
        <v>11355</v>
      </c>
      <c r="S8" s="6" t="s">
        <v>70</v>
      </c>
      <c r="T8" s="7">
        <v>1483439.39</v>
      </c>
      <c r="U8" s="8">
        <v>45632</v>
      </c>
      <c r="V8" s="8"/>
      <c r="W8" s="7"/>
      <c r="X8" s="8"/>
      <c r="Y8" s="7"/>
      <c r="Z8" s="1"/>
      <c r="AA8" s="1" t="s">
        <v>71</v>
      </c>
      <c r="AB8" s="1" t="s">
        <v>72</v>
      </c>
      <c r="AC8" s="1"/>
      <c r="AD8" s="1" t="s">
        <v>73</v>
      </c>
      <c r="AE8" s="1"/>
    </row>
    <row r="9" spans="1:31" x14ac:dyDescent="0.2">
      <c r="A9" s="9" t="s">
        <v>31</v>
      </c>
      <c r="B9" s="9"/>
      <c r="C9" s="10">
        <v>45891</v>
      </c>
      <c r="D9" s="9" t="s">
        <v>49</v>
      </c>
      <c r="E9" s="9" t="s">
        <v>33</v>
      </c>
      <c r="F9" s="11" t="s">
        <v>74</v>
      </c>
      <c r="G9" s="9">
        <v>2009</v>
      </c>
      <c r="H9" s="9" t="s">
        <v>75</v>
      </c>
      <c r="I9" s="9" t="s">
        <v>76</v>
      </c>
      <c r="J9" s="9" t="s">
        <v>77</v>
      </c>
      <c r="K9" s="9" t="s">
        <v>77</v>
      </c>
      <c r="L9" s="9"/>
      <c r="M9" s="9" t="s">
        <v>78</v>
      </c>
      <c r="N9" s="12" t="str">
        <f>HYPERLINK("https://www.google.com/maps/search/?api=1&amp;query=197-17 JAMAICA AVENUE, HOLLIS, NY 11423", "OPEN MAP")</f>
        <v>OPEN MAP</v>
      </c>
      <c r="O9" s="9" t="s">
        <v>79</v>
      </c>
      <c r="P9" s="9" t="s">
        <v>80</v>
      </c>
      <c r="Q9" s="9" t="s">
        <v>43</v>
      </c>
      <c r="R9" s="9">
        <v>11423</v>
      </c>
      <c r="S9" s="13" t="s">
        <v>81</v>
      </c>
      <c r="T9" s="14"/>
      <c r="U9" s="15">
        <v>43497</v>
      </c>
      <c r="V9" s="15"/>
      <c r="W9" s="14"/>
      <c r="X9" s="15"/>
      <c r="Y9" s="14"/>
      <c r="Z9" s="9"/>
      <c r="AA9" s="9" t="s">
        <v>60</v>
      </c>
      <c r="AB9" s="9" t="s">
        <v>61</v>
      </c>
      <c r="AC9" s="9"/>
      <c r="AD9" s="9" t="s">
        <v>82</v>
      </c>
      <c r="AE9" s="9"/>
    </row>
    <row r="10" spans="1:31" x14ac:dyDescent="0.2">
      <c r="A10" s="1" t="s">
        <v>31</v>
      </c>
      <c r="B10" s="1"/>
      <c r="C10" s="3">
        <v>45891</v>
      </c>
      <c r="D10" s="1" t="s">
        <v>49</v>
      </c>
      <c r="E10" s="1" t="s">
        <v>33</v>
      </c>
      <c r="F10" s="4" t="s">
        <v>83</v>
      </c>
      <c r="G10" s="1">
        <v>2023</v>
      </c>
      <c r="H10" s="1" t="s">
        <v>84</v>
      </c>
      <c r="I10" s="1" t="s">
        <v>85</v>
      </c>
      <c r="J10" s="1" t="s">
        <v>86</v>
      </c>
      <c r="K10" s="1" t="s">
        <v>86</v>
      </c>
      <c r="L10" s="1"/>
      <c r="M10" s="1" t="s">
        <v>87</v>
      </c>
      <c r="N10" s="5" t="str">
        <f>HYPERLINK("https://www.google.com/maps/search/?api=1&amp;query=220-32 137th Avenue, Springfield Gardens, NY 11413", "OPEN MAP")</f>
        <v>OPEN MAP</v>
      </c>
      <c r="O10" s="1" t="s">
        <v>88</v>
      </c>
      <c r="P10" s="1" t="s">
        <v>89</v>
      </c>
      <c r="Q10" s="1" t="s">
        <v>43</v>
      </c>
      <c r="R10" s="1">
        <v>11413</v>
      </c>
      <c r="S10" s="6" t="s">
        <v>90</v>
      </c>
      <c r="T10" s="7">
        <v>861881.63</v>
      </c>
      <c r="U10" s="8">
        <v>45699</v>
      </c>
      <c r="V10" s="8"/>
      <c r="W10" s="7"/>
      <c r="X10" s="8"/>
      <c r="Y10" s="7"/>
      <c r="Z10" s="1"/>
      <c r="AA10" s="1" t="s">
        <v>91</v>
      </c>
      <c r="AB10" s="1" t="s">
        <v>92</v>
      </c>
      <c r="AC10" s="1"/>
      <c r="AD10" s="1" t="s">
        <v>93</v>
      </c>
      <c r="AE10" s="1"/>
    </row>
    <row r="11" spans="1:31" x14ac:dyDescent="0.2">
      <c r="A11" s="9" t="s">
        <v>31</v>
      </c>
      <c r="B11" s="9"/>
      <c r="C11" s="10">
        <v>45891</v>
      </c>
      <c r="D11" s="9" t="s">
        <v>49</v>
      </c>
      <c r="E11" s="9"/>
      <c r="F11" s="11" t="s">
        <v>94</v>
      </c>
      <c r="G11" s="9">
        <v>2021</v>
      </c>
      <c r="H11" s="9" t="s">
        <v>95</v>
      </c>
      <c r="I11" s="9" t="s">
        <v>96</v>
      </c>
      <c r="J11" s="9" t="s">
        <v>97</v>
      </c>
      <c r="K11" s="9" t="s">
        <v>97</v>
      </c>
      <c r="L11" s="9"/>
      <c r="M11" s="9" t="s">
        <v>98</v>
      </c>
      <c r="N11" s="12" t="str">
        <f>HYPERLINK("https://www.google.com/maps/search/?api=1&amp;query=87-47 98TH STREET, WOODHAVEN, NY 11421", "OPEN MAP")</f>
        <v>OPEN MAP</v>
      </c>
      <c r="O11" s="9" t="s">
        <v>99</v>
      </c>
      <c r="P11" s="9" t="s">
        <v>100</v>
      </c>
      <c r="Q11" s="9" t="s">
        <v>43</v>
      </c>
      <c r="R11" s="9">
        <v>11421</v>
      </c>
      <c r="S11" s="13" t="s">
        <v>101</v>
      </c>
      <c r="T11" s="14"/>
      <c r="U11" s="15">
        <v>45775</v>
      </c>
      <c r="V11" s="15"/>
      <c r="W11" s="14"/>
      <c r="X11" s="15"/>
      <c r="Y11" s="14"/>
      <c r="Z11" s="9"/>
      <c r="AA11" s="9" t="s">
        <v>60</v>
      </c>
      <c r="AB11" s="9" t="s">
        <v>61</v>
      </c>
      <c r="AC11" s="9"/>
      <c r="AD11" s="9" t="s">
        <v>102</v>
      </c>
      <c r="AE11" s="9"/>
    </row>
    <row r="12" spans="1:31" x14ac:dyDescent="0.2">
      <c r="A12" s="1" t="s">
        <v>31</v>
      </c>
      <c r="B12" s="1"/>
      <c r="C12" s="3">
        <v>45891</v>
      </c>
      <c r="D12" s="1" t="s">
        <v>49</v>
      </c>
      <c r="E12" s="1" t="s">
        <v>33</v>
      </c>
      <c r="F12" s="4" t="s">
        <v>103</v>
      </c>
      <c r="G12" s="1">
        <v>2020</v>
      </c>
      <c r="H12" s="1" t="s">
        <v>104</v>
      </c>
      <c r="I12" s="1" t="s">
        <v>105</v>
      </c>
      <c r="J12" s="1" t="s">
        <v>106</v>
      </c>
      <c r="K12" s="1" t="s">
        <v>106</v>
      </c>
      <c r="L12" s="1" t="s">
        <v>107</v>
      </c>
      <c r="M12" s="1" t="s">
        <v>108</v>
      </c>
      <c r="N12" s="5" t="str">
        <f>HYPERLINK("https://www.google.com/maps/search/?api=1&amp;query=104-53 121st Street, South Richmond Hill, NY 11419", "OPEN MAP")</f>
        <v>OPEN MAP</v>
      </c>
      <c r="O12" s="1" t="s">
        <v>109</v>
      </c>
      <c r="P12" s="1" t="s">
        <v>110</v>
      </c>
      <c r="Q12" s="1" t="s">
        <v>43</v>
      </c>
      <c r="R12" s="1">
        <v>11419</v>
      </c>
      <c r="S12" s="6" t="s">
        <v>111</v>
      </c>
      <c r="T12" s="7"/>
      <c r="U12" s="8"/>
      <c r="V12" s="8">
        <v>38651</v>
      </c>
      <c r="W12" s="7">
        <v>50000</v>
      </c>
      <c r="X12" s="8"/>
      <c r="Y12" s="7"/>
      <c r="Z12" s="1" t="s">
        <v>112</v>
      </c>
      <c r="AA12" s="1" t="s">
        <v>113</v>
      </c>
      <c r="AB12" s="1" t="s">
        <v>46</v>
      </c>
      <c r="AC12" s="1" t="s">
        <v>114</v>
      </c>
      <c r="AD12" s="1"/>
      <c r="AE12" s="1"/>
    </row>
    <row r="13" spans="1:31" x14ac:dyDescent="0.2">
      <c r="A13" s="9" t="s">
        <v>115</v>
      </c>
      <c r="B13" s="9"/>
      <c r="C13" s="10">
        <v>45891</v>
      </c>
      <c r="D13" s="9" t="s">
        <v>32</v>
      </c>
      <c r="E13" s="9"/>
      <c r="F13" s="11" t="s">
        <v>116</v>
      </c>
      <c r="G13" s="9">
        <v>2014</v>
      </c>
      <c r="H13" s="9" t="s">
        <v>117</v>
      </c>
      <c r="I13" s="9" t="s">
        <v>118</v>
      </c>
      <c r="J13" s="9" t="s">
        <v>119</v>
      </c>
      <c r="K13" s="9" t="s">
        <v>119</v>
      </c>
      <c r="L13" s="9" t="s">
        <v>120</v>
      </c>
      <c r="M13" s="9" t="s">
        <v>121</v>
      </c>
      <c r="N13" s="12" t="str">
        <f>HYPERLINK("https://www.google.com/maps/search/?api=1&amp;query=92-18 48 Ave, Elmhurst, NY 11373", "OPEN MAP")</f>
        <v>OPEN MAP</v>
      </c>
      <c r="O13" s="9" t="s">
        <v>122</v>
      </c>
      <c r="P13" s="9" t="s">
        <v>123</v>
      </c>
      <c r="Q13" s="9" t="s">
        <v>43</v>
      </c>
      <c r="R13" s="9">
        <v>11373</v>
      </c>
      <c r="S13" s="13" t="s">
        <v>124</v>
      </c>
      <c r="T13" s="14">
        <v>961810.69</v>
      </c>
      <c r="U13" s="15">
        <v>43332</v>
      </c>
      <c r="V13" s="15"/>
      <c r="W13" s="14"/>
      <c r="X13" s="15"/>
      <c r="Y13" s="14"/>
      <c r="Z13" s="9" t="s">
        <v>125</v>
      </c>
      <c r="AA13" s="9" t="s">
        <v>126</v>
      </c>
      <c r="AB13" s="9" t="s">
        <v>127</v>
      </c>
      <c r="AC13" s="9" t="s">
        <v>128</v>
      </c>
      <c r="AD13" s="9" t="s">
        <v>129</v>
      </c>
      <c r="AE13" s="9"/>
    </row>
    <row r="14" spans="1:31" x14ac:dyDescent="0.2">
      <c r="A14" s="1" t="s">
        <v>115</v>
      </c>
      <c r="B14" s="1"/>
      <c r="C14" s="3">
        <v>45891</v>
      </c>
      <c r="D14" s="1" t="s">
        <v>49</v>
      </c>
      <c r="E14" s="1"/>
      <c r="F14" s="4" t="s">
        <v>130</v>
      </c>
      <c r="G14" s="1">
        <v>2013</v>
      </c>
      <c r="H14" s="1" t="s">
        <v>131</v>
      </c>
      <c r="I14" s="1" t="s">
        <v>132</v>
      </c>
      <c r="J14" s="1" t="s">
        <v>133</v>
      </c>
      <c r="K14" s="1" t="s">
        <v>134</v>
      </c>
      <c r="L14" s="1" t="s">
        <v>135</v>
      </c>
      <c r="M14" s="1" t="s">
        <v>136</v>
      </c>
      <c r="N14" s="5" t="str">
        <f>HYPERLINK("https://www.google.com/maps/search/?api=1&amp;query=14-90 Point Breeze Place, Far Rockaway, NY 11691", "OPEN MAP")</f>
        <v>OPEN MAP</v>
      </c>
      <c r="O14" s="1" t="s">
        <v>137</v>
      </c>
      <c r="P14" s="1" t="s">
        <v>138</v>
      </c>
      <c r="Q14" s="1" t="s">
        <v>43</v>
      </c>
      <c r="R14" s="1">
        <v>11691</v>
      </c>
      <c r="S14" s="6" t="s">
        <v>139</v>
      </c>
      <c r="T14" s="7">
        <v>767138.34</v>
      </c>
      <c r="U14" s="8">
        <v>42831</v>
      </c>
      <c r="V14" s="8"/>
      <c r="W14" s="7"/>
      <c r="X14" s="8"/>
      <c r="Y14" s="7"/>
      <c r="Z14" s="1"/>
      <c r="AA14" s="1" t="s">
        <v>140</v>
      </c>
      <c r="AB14" s="1"/>
      <c r="AC14" s="1"/>
      <c r="AD14" s="1" t="s">
        <v>141</v>
      </c>
      <c r="AE14" s="1"/>
    </row>
    <row r="15" spans="1:31" x14ac:dyDescent="0.2">
      <c r="A15" s="9" t="s">
        <v>115</v>
      </c>
      <c r="B15" s="9"/>
      <c r="C15" s="10">
        <v>45891</v>
      </c>
      <c r="D15" s="9" t="s">
        <v>49</v>
      </c>
      <c r="E15" s="9" t="s">
        <v>33</v>
      </c>
      <c r="F15" s="11" t="s">
        <v>142</v>
      </c>
      <c r="G15" s="9">
        <v>2023</v>
      </c>
      <c r="H15" s="9" t="s">
        <v>143</v>
      </c>
      <c r="I15" s="9" t="s">
        <v>144</v>
      </c>
      <c r="J15" s="9" t="s">
        <v>145</v>
      </c>
      <c r="K15" s="9" t="s">
        <v>146</v>
      </c>
      <c r="L15" s="9"/>
      <c r="M15" s="9" t="s">
        <v>147</v>
      </c>
      <c r="N15" s="12" t="str">
        <f>HYPERLINK("https://www.google.com/maps/search/?api=1&amp;query=91-39 85th Street, Woodhaven, NY 11421", "OPEN MAP")</f>
        <v>OPEN MAP</v>
      </c>
      <c r="O15" s="9" t="s">
        <v>148</v>
      </c>
      <c r="P15" s="9" t="s">
        <v>149</v>
      </c>
      <c r="Q15" s="9" t="s">
        <v>43</v>
      </c>
      <c r="R15" s="9">
        <v>11421</v>
      </c>
      <c r="S15" s="13" t="s">
        <v>150</v>
      </c>
      <c r="T15" s="14"/>
      <c r="U15" s="15"/>
      <c r="V15" s="15">
        <v>39139</v>
      </c>
      <c r="W15" s="14">
        <v>424000</v>
      </c>
      <c r="X15" s="15">
        <v>43385</v>
      </c>
      <c r="Y15" s="14">
        <v>762503.9</v>
      </c>
      <c r="Z15" s="9" t="s">
        <v>151</v>
      </c>
      <c r="AA15" s="9" t="s">
        <v>152</v>
      </c>
      <c r="AB15" s="9" t="s">
        <v>153</v>
      </c>
      <c r="AC15" s="9" t="s">
        <v>154</v>
      </c>
      <c r="AD15" s="9"/>
      <c r="AE15" s="9"/>
    </row>
    <row r="16" spans="1:31" x14ac:dyDescent="0.2">
      <c r="A16" s="1" t="s">
        <v>31</v>
      </c>
      <c r="B16" s="1"/>
      <c r="C16" s="3">
        <v>45891</v>
      </c>
      <c r="D16" s="1" t="s">
        <v>32</v>
      </c>
      <c r="E16" s="1"/>
      <c r="F16" s="4" t="s">
        <v>155</v>
      </c>
      <c r="G16" s="1">
        <v>2023</v>
      </c>
      <c r="H16" s="1" t="s">
        <v>156</v>
      </c>
      <c r="I16" s="1" t="s">
        <v>157</v>
      </c>
      <c r="J16" s="1" t="s">
        <v>158</v>
      </c>
      <c r="K16" s="1" t="s">
        <v>158</v>
      </c>
      <c r="L16" s="1"/>
      <c r="M16" s="1" t="s">
        <v>159</v>
      </c>
      <c r="N16" s="5" t="str">
        <f>HYPERLINK("https://www.google.com/maps/search/?api=1&amp;query=116-34 Marsden Street, Jamaica, NY 11434", "OPEN MAP")</f>
        <v>OPEN MAP</v>
      </c>
      <c r="O16" s="1" t="s">
        <v>160</v>
      </c>
      <c r="P16" s="1" t="s">
        <v>42</v>
      </c>
      <c r="Q16" s="1" t="s">
        <v>43</v>
      </c>
      <c r="R16" s="1">
        <v>11434</v>
      </c>
      <c r="S16" s="6" t="s">
        <v>161</v>
      </c>
      <c r="T16" s="7">
        <v>661189.36</v>
      </c>
      <c r="U16" s="8">
        <v>45674</v>
      </c>
      <c r="V16" s="8"/>
      <c r="W16" s="7"/>
      <c r="X16" s="8"/>
      <c r="Y16" s="7"/>
      <c r="Z16" s="1"/>
      <c r="AA16" s="1" t="s">
        <v>45</v>
      </c>
      <c r="AB16" s="1" t="s">
        <v>46</v>
      </c>
      <c r="AC16" s="1" t="s">
        <v>162</v>
      </c>
      <c r="AD16" s="1" t="s">
        <v>163</v>
      </c>
      <c r="AE16" s="1"/>
    </row>
    <row r="17" spans="1:31" x14ac:dyDescent="0.2">
      <c r="A17" s="9" t="s">
        <v>31</v>
      </c>
      <c r="B17" s="9"/>
      <c r="C17" s="10">
        <v>45891</v>
      </c>
      <c r="D17" s="9" t="s">
        <v>49</v>
      </c>
      <c r="E17" s="9"/>
      <c r="F17" s="11" t="s">
        <v>164</v>
      </c>
      <c r="G17" s="9">
        <v>2021</v>
      </c>
      <c r="H17" s="9" t="s">
        <v>165</v>
      </c>
      <c r="I17" s="9" t="s">
        <v>166</v>
      </c>
      <c r="J17" s="9" t="s">
        <v>167</v>
      </c>
      <c r="K17" s="9" t="s">
        <v>167</v>
      </c>
      <c r="L17" s="9"/>
      <c r="M17" s="9" t="s">
        <v>168</v>
      </c>
      <c r="N17" s="12" t="str">
        <f>HYPERLINK("https://www.google.com/maps/search/?api=1&amp;query=100-35 200TH ST, HOLLIS, NY 11423", "OPEN MAP")</f>
        <v>OPEN MAP</v>
      </c>
      <c r="O17" s="9" t="s">
        <v>169</v>
      </c>
      <c r="P17" s="9" t="s">
        <v>80</v>
      </c>
      <c r="Q17" s="9" t="s">
        <v>43</v>
      </c>
      <c r="R17" s="9">
        <v>11423</v>
      </c>
      <c r="S17" s="13" t="s">
        <v>170</v>
      </c>
      <c r="T17" s="14"/>
      <c r="U17" s="15">
        <v>43322</v>
      </c>
      <c r="V17" s="15"/>
      <c r="W17" s="14"/>
      <c r="X17" s="15"/>
      <c r="Y17" s="14"/>
      <c r="Z17" s="9"/>
      <c r="AA17" s="9" t="s">
        <v>60</v>
      </c>
      <c r="AB17" s="9" t="s">
        <v>61</v>
      </c>
      <c r="AC17" s="9"/>
      <c r="AD17" s="9" t="s">
        <v>171</v>
      </c>
      <c r="AE17" s="9"/>
    </row>
    <row r="18" spans="1:31" x14ac:dyDescent="0.2">
      <c r="A18" s="1" t="s">
        <v>31</v>
      </c>
      <c r="B18" s="1"/>
      <c r="C18" s="3">
        <v>45891</v>
      </c>
      <c r="D18" s="1" t="s">
        <v>32</v>
      </c>
      <c r="E18" s="1"/>
      <c r="F18" s="4" t="s">
        <v>172</v>
      </c>
      <c r="G18" s="1">
        <v>2023</v>
      </c>
      <c r="H18" s="1" t="s">
        <v>173</v>
      </c>
      <c r="I18" s="1" t="s">
        <v>174</v>
      </c>
      <c r="J18" s="1" t="s">
        <v>175</v>
      </c>
      <c r="K18" s="1" t="s">
        <v>175</v>
      </c>
      <c r="L18" s="1"/>
      <c r="M18" s="1" t="s">
        <v>176</v>
      </c>
      <c r="N18" s="5" t="str">
        <f>HYPERLINK("https://www.google.com/maps/search/?api=1&amp;query=227-07 108th Avenue, Queens Village, NY 11429", "OPEN MAP")</f>
        <v>OPEN MAP</v>
      </c>
      <c r="O18" s="1" t="s">
        <v>177</v>
      </c>
      <c r="P18" s="1" t="s">
        <v>178</v>
      </c>
      <c r="Q18" s="1" t="s">
        <v>43</v>
      </c>
      <c r="R18" s="1">
        <v>11429</v>
      </c>
      <c r="S18" s="6" t="s">
        <v>179</v>
      </c>
      <c r="T18" s="7">
        <v>197227.03</v>
      </c>
      <c r="U18" s="8">
        <v>45805</v>
      </c>
      <c r="V18" s="8"/>
      <c r="W18" s="7"/>
      <c r="X18" s="8"/>
      <c r="Y18" s="7"/>
      <c r="Z18" s="1"/>
      <c r="AA18" s="1" t="s">
        <v>180</v>
      </c>
      <c r="AB18" s="1" t="s">
        <v>181</v>
      </c>
      <c r="AC18" s="1"/>
      <c r="AD18" s="1" t="s">
        <v>182</v>
      </c>
      <c r="AE18" s="1"/>
    </row>
    <row r="19" spans="1:31" x14ac:dyDescent="0.2">
      <c r="A19" s="9" t="s">
        <v>31</v>
      </c>
      <c r="B19" s="9"/>
      <c r="C19" s="10">
        <v>45891</v>
      </c>
      <c r="D19" s="9" t="s">
        <v>49</v>
      </c>
      <c r="E19" s="9" t="s">
        <v>33</v>
      </c>
      <c r="F19" s="11" t="s">
        <v>183</v>
      </c>
      <c r="G19" s="9">
        <v>2022</v>
      </c>
      <c r="H19" s="9" t="s">
        <v>184</v>
      </c>
      <c r="I19" s="9" t="s">
        <v>185</v>
      </c>
      <c r="J19" s="9" t="s">
        <v>186</v>
      </c>
      <c r="K19" s="9" t="s">
        <v>186</v>
      </c>
      <c r="L19" s="9"/>
      <c r="M19" s="9" t="s">
        <v>187</v>
      </c>
      <c r="N19" s="12" t="str">
        <f>HYPERLINK("https://www.google.com/maps/search/?api=1&amp;query=130-07 228 STREET, LAURELTON, NY 11413", "OPEN MAP")</f>
        <v>OPEN MAP</v>
      </c>
      <c r="O19" s="9" t="s">
        <v>188</v>
      </c>
      <c r="P19" s="9" t="s">
        <v>189</v>
      </c>
      <c r="Q19" s="9" t="s">
        <v>43</v>
      </c>
      <c r="R19" s="9">
        <v>11413</v>
      </c>
      <c r="S19" s="13" t="s">
        <v>190</v>
      </c>
      <c r="T19" s="14"/>
      <c r="U19" s="15">
        <v>45785</v>
      </c>
      <c r="V19" s="15"/>
      <c r="W19" s="14"/>
      <c r="X19" s="15"/>
      <c r="Y19" s="14"/>
      <c r="Z19" s="9"/>
      <c r="AA19" s="9" t="s">
        <v>60</v>
      </c>
      <c r="AB19" s="9" t="s">
        <v>61</v>
      </c>
      <c r="AC19" s="9"/>
      <c r="AD19" s="9" t="s">
        <v>191</v>
      </c>
      <c r="AE19" s="9"/>
    </row>
    <row r="20" spans="1:31" x14ac:dyDescent="0.2">
      <c r="A20" s="1" t="s">
        <v>115</v>
      </c>
      <c r="B20" s="1"/>
      <c r="C20" s="3">
        <v>45891</v>
      </c>
      <c r="D20" s="1" t="s">
        <v>32</v>
      </c>
      <c r="E20" s="1" t="s">
        <v>33</v>
      </c>
      <c r="F20" s="4" t="s">
        <v>192</v>
      </c>
      <c r="G20" s="1">
        <v>2021</v>
      </c>
      <c r="H20" s="1" t="s">
        <v>193</v>
      </c>
      <c r="I20" s="1" t="s">
        <v>194</v>
      </c>
      <c r="J20" s="1" t="s">
        <v>195</v>
      </c>
      <c r="K20" s="1" t="s">
        <v>195</v>
      </c>
      <c r="L20" s="1"/>
      <c r="M20" s="1" t="s">
        <v>196</v>
      </c>
      <c r="N20" s="5" t="str">
        <f>HYPERLINK("https://www.google.com/maps/search/?api=1&amp;query=218-51 110th Avenue, Queens Village, NY 11429", "OPEN MAP")</f>
        <v>OPEN MAP</v>
      </c>
      <c r="O20" s="1" t="s">
        <v>197</v>
      </c>
      <c r="P20" s="1" t="s">
        <v>178</v>
      </c>
      <c r="Q20" s="1" t="s">
        <v>43</v>
      </c>
      <c r="R20" s="1">
        <v>11429</v>
      </c>
      <c r="S20" s="6" t="s">
        <v>198</v>
      </c>
      <c r="T20" s="7">
        <v>346071.07</v>
      </c>
      <c r="U20" s="8">
        <v>44596</v>
      </c>
      <c r="V20" s="8"/>
      <c r="W20" s="7"/>
      <c r="X20" s="8"/>
      <c r="Y20" s="7"/>
      <c r="Z20" s="1"/>
      <c r="AA20" s="1" t="s">
        <v>126</v>
      </c>
      <c r="AB20" s="1" t="s">
        <v>199</v>
      </c>
      <c r="AC20" s="1" t="s">
        <v>128</v>
      </c>
      <c r="AD20" s="1" t="s">
        <v>200</v>
      </c>
      <c r="AE20" s="1"/>
    </row>
    <row r="21" spans="1:31" x14ac:dyDescent="0.2">
      <c r="A21" s="9" t="s">
        <v>31</v>
      </c>
      <c r="B21" s="9"/>
      <c r="C21" s="10">
        <v>45891</v>
      </c>
      <c r="D21" s="9" t="s">
        <v>49</v>
      </c>
      <c r="E21" s="9"/>
      <c r="F21" s="11" t="s">
        <v>201</v>
      </c>
      <c r="G21" s="9">
        <v>2008</v>
      </c>
      <c r="H21" s="9" t="s">
        <v>202</v>
      </c>
      <c r="I21" s="9" t="s">
        <v>203</v>
      </c>
      <c r="J21" s="9" t="s">
        <v>204</v>
      </c>
      <c r="K21" s="9" t="s">
        <v>204</v>
      </c>
      <c r="L21" s="9"/>
      <c r="M21" s="9" t="s">
        <v>205</v>
      </c>
      <c r="N21" s="12" t="str">
        <f>HYPERLINK("https://www.google.com/maps/search/?api=1&amp;query=12711 116TH AVENUE, SOUTH OZONE PARK, NY 11420", "OPEN MAP")</f>
        <v>OPEN MAP</v>
      </c>
      <c r="O21" s="9" t="s">
        <v>206</v>
      </c>
      <c r="P21" s="9" t="s">
        <v>207</v>
      </c>
      <c r="Q21" s="9" t="s">
        <v>43</v>
      </c>
      <c r="R21" s="9">
        <v>11420</v>
      </c>
      <c r="S21" s="13" t="s">
        <v>208</v>
      </c>
      <c r="T21" s="14"/>
      <c r="U21" s="15">
        <v>45776</v>
      </c>
      <c r="V21" s="15"/>
      <c r="W21" s="14"/>
      <c r="X21" s="15"/>
      <c r="Y21" s="14"/>
      <c r="Z21" s="9"/>
      <c r="AA21" s="9" t="s">
        <v>60</v>
      </c>
      <c r="AB21" s="9" t="s">
        <v>61</v>
      </c>
      <c r="AC21" s="9"/>
      <c r="AD21" s="9" t="s">
        <v>191</v>
      </c>
      <c r="AE21" s="9"/>
    </row>
    <row r="22" spans="1:31" x14ac:dyDescent="0.2">
      <c r="A22" s="1" t="s">
        <v>31</v>
      </c>
      <c r="B22" s="1"/>
      <c r="C22" s="3">
        <v>45891</v>
      </c>
      <c r="D22" s="1" t="s">
        <v>49</v>
      </c>
      <c r="E22" s="1" t="s">
        <v>33</v>
      </c>
      <c r="F22" s="4" t="s">
        <v>209</v>
      </c>
      <c r="G22" s="1">
        <v>2014</v>
      </c>
      <c r="H22" s="1" t="s">
        <v>210</v>
      </c>
      <c r="I22" s="1" t="s">
        <v>203</v>
      </c>
      <c r="J22" s="1" t="s">
        <v>211</v>
      </c>
      <c r="K22" s="1" t="s">
        <v>211</v>
      </c>
      <c r="L22" s="1"/>
      <c r="M22" s="1" t="s">
        <v>212</v>
      </c>
      <c r="N22" s="5" t="str">
        <f>HYPERLINK("https://www.google.com/maps/search/?api=1&amp;query=192-05 105TH AVENUE, HOLLIS, NY 11412", "OPEN MAP")</f>
        <v>OPEN MAP</v>
      </c>
      <c r="O22" s="1" t="s">
        <v>213</v>
      </c>
      <c r="P22" s="1" t="s">
        <v>80</v>
      </c>
      <c r="Q22" s="1" t="s">
        <v>43</v>
      </c>
      <c r="R22" s="1">
        <v>11412</v>
      </c>
      <c r="S22" s="6" t="s">
        <v>214</v>
      </c>
      <c r="T22" s="7"/>
      <c r="U22" s="8">
        <v>45712</v>
      </c>
      <c r="V22" s="8"/>
      <c r="W22" s="7"/>
      <c r="X22" s="8"/>
      <c r="Y22" s="7"/>
      <c r="Z22" s="1"/>
      <c r="AA22" s="1" t="s">
        <v>60</v>
      </c>
      <c r="AB22" s="1" t="s">
        <v>61</v>
      </c>
      <c r="AC22" s="1"/>
      <c r="AD22" s="1" t="s">
        <v>93</v>
      </c>
      <c r="AE22" s="1"/>
    </row>
    <row r="23" spans="1:31" x14ac:dyDescent="0.2">
      <c r="A23" s="9" t="s">
        <v>31</v>
      </c>
      <c r="B23" s="9"/>
      <c r="C23" s="10">
        <v>45891</v>
      </c>
      <c r="D23" s="9" t="s">
        <v>49</v>
      </c>
      <c r="E23" s="9" t="s">
        <v>33</v>
      </c>
      <c r="F23" s="11" t="s">
        <v>215</v>
      </c>
      <c r="G23" s="9">
        <v>2015</v>
      </c>
      <c r="H23" s="9" t="s">
        <v>216</v>
      </c>
      <c r="I23" s="9" t="s">
        <v>217</v>
      </c>
      <c r="J23" s="9" t="s">
        <v>218</v>
      </c>
      <c r="K23" s="9" t="s">
        <v>219</v>
      </c>
      <c r="L23" s="9"/>
      <c r="M23" s="9" t="s">
        <v>220</v>
      </c>
      <c r="N23" s="12" t="str">
        <f>HYPERLINK("https://www.google.com/maps/search/?api=1&amp;query=431 Beach 45th Street, Far Rockaway, NY 11691", "OPEN MAP")</f>
        <v>OPEN MAP</v>
      </c>
      <c r="O23" s="9" t="s">
        <v>221</v>
      </c>
      <c r="P23" s="9" t="s">
        <v>138</v>
      </c>
      <c r="Q23" s="9" t="s">
        <v>43</v>
      </c>
      <c r="R23" s="9">
        <v>11691</v>
      </c>
      <c r="S23" s="13" t="s">
        <v>222</v>
      </c>
      <c r="T23" s="14">
        <v>480940.23</v>
      </c>
      <c r="U23" s="15">
        <v>45587</v>
      </c>
      <c r="V23" s="15"/>
      <c r="W23" s="14"/>
      <c r="X23" s="15"/>
      <c r="Y23" s="14"/>
      <c r="Z23" s="9"/>
      <c r="AA23" s="9" t="s">
        <v>45</v>
      </c>
      <c r="AB23" s="9" t="s">
        <v>46</v>
      </c>
      <c r="AC23" s="9" t="s">
        <v>47</v>
      </c>
      <c r="AD23" s="9" t="s">
        <v>93</v>
      </c>
      <c r="AE23" s="9"/>
    </row>
    <row r="24" spans="1:31" x14ac:dyDescent="0.2">
      <c r="A24" s="1" t="s">
        <v>115</v>
      </c>
      <c r="B24" s="1"/>
      <c r="C24" s="3">
        <v>45891</v>
      </c>
      <c r="D24" s="1" t="s">
        <v>49</v>
      </c>
      <c r="E24" s="1"/>
      <c r="F24" s="4" t="s">
        <v>223</v>
      </c>
      <c r="G24" s="1">
        <v>2024</v>
      </c>
      <c r="H24" s="1" t="s">
        <v>224</v>
      </c>
      <c r="I24" s="1" t="s">
        <v>225</v>
      </c>
      <c r="J24" s="1" t="s">
        <v>66</v>
      </c>
      <c r="K24" s="1" t="s">
        <v>66</v>
      </c>
      <c r="L24" s="1"/>
      <c r="M24" s="1" t="s">
        <v>226</v>
      </c>
      <c r="N24" s="5" t="str">
        <f>HYPERLINK("https://www.google.com/maps/search/?api=1&amp;query=38-11 108th Street, Unit 3H, Corona, NY 11368", "OPEN MAP")</f>
        <v>OPEN MAP</v>
      </c>
      <c r="O24" s="1" t="s">
        <v>227</v>
      </c>
      <c r="P24" s="1" t="s">
        <v>228</v>
      </c>
      <c r="Q24" s="1" t="s">
        <v>43</v>
      </c>
      <c r="R24" s="1">
        <v>11368</v>
      </c>
      <c r="S24" s="6" t="s">
        <v>229</v>
      </c>
      <c r="T24" s="7">
        <v>256198.36</v>
      </c>
      <c r="U24" s="8">
        <v>45632</v>
      </c>
      <c r="V24" s="8"/>
      <c r="W24" s="7"/>
      <c r="X24" s="8"/>
      <c r="Y24" s="7"/>
      <c r="Z24" s="1"/>
      <c r="AA24" s="1" t="s">
        <v>71</v>
      </c>
      <c r="AB24" s="1" t="s">
        <v>72</v>
      </c>
      <c r="AC24" s="1"/>
      <c r="AD24" s="1" t="s">
        <v>230</v>
      </c>
      <c r="AE24" s="1"/>
    </row>
    <row r="25" spans="1:31" x14ac:dyDescent="0.2">
      <c r="A25" s="9" t="s">
        <v>31</v>
      </c>
      <c r="B25" s="9"/>
      <c r="C25" s="10">
        <v>45891</v>
      </c>
      <c r="D25" s="9" t="s">
        <v>49</v>
      </c>
      <c r="E25" s="9"/>
      <c r="F25" s="11" t="s">
        <v>231</v>
      </c>
      <c r="G25" s="9">
        <v>2011</v>
      </c>
      <c r="H25" s="9" t="s">
        <v>232</v>
      </c>
      <c r="I25" s="9" t="s">
        <v>233</v>
      </c>
      <c r="J25" s="9" t="s">
        <v>234</v>
      </c>
      <c r="K25" s="9" t="s">
        <v>234</v>
      </c>
      <c r="L25" s="9"/>
      <c r="M25" s="9" t="s">
        <v>235</v>
      </c>
      <c r="N25" s="12" t="str">
        <f>HYPERLINK("https://www.google.com/maps/search/?api=1&amp;query=128-17 115th Avenue, South Ozone Park, NY 11420", "OPEN MAP")</f>
        <v>OPEN MAP</v>
      </c>
      <c r="O25" s="9" t="s">
        <v>236</v>
      </c>
      <c r="P25" s="9" t="s">
        <v>237</v>
      </c>
      <c r="Q25" s="9" t="s">
        <v>43</v>
      </c>
      <c r="R25" s="9">
        <v>11420</v>
      </c>
      <c r="S25" s="13" t="s">
        <v>238</v>
      </c>
      <c r="T25" s="14">
        <v>808039.49</v>
      </c>
      <c r="U25" s="15">
        <v>45093</v>
      </c>
      <c r="V25" s="15"/>
      <c r="W25" s="14"/>
      <c r="X25" s="15"/>
      <c r="Y25" s="14"/>
      <c r="Z25" s="9"/>
      <c r="AA25" s="9" t="s">
        <v>239</v>
      </c>
      <c r="AB25" s="9" t="s">
        <v>240</v>
      </c>
      <c r="AC25" s="9"/>
      <c r="AD25" s="9" t="s">
        <v>241</v>
      </c>
      <c r="AE25" s="9"/>
    </row>
    <row r="26" spans="1:31" x14ac:dyDescent="0.2">
      <c r="A26" s="1" t="s">
        <v>31</v>
      </c>
      <c r="B26" s="1"/>
      <c r="C26" s="3">
        <v>45891</v>
      </c>
      <c r="D26" s="1" t="s">
        <v>49</v>
      </c>
      <c r="E26" s="1" t="s">
        <v>33</v>
      </c>
      <c r="F26" s="4" t="s">
        <v>242</v>
      </c>
      <c r="G26" s="1">
        <v>2018</v>
      </c>
      <c r="H26" s="1" t="s">
        <v>243</v>
      </c>
      <c r="I26" s="1" t="s">
        <v>244</v>
      </c>
      <c r="J26" s="1" t="s">
        <v>245</v>
      </c>
      <c r="K26" s="1" t="s">
        <v>246</v>
      </c>
      <c r="L26" s="1" t="s">
        <v>247</v>
      </c>
      <c r="M26" s="1" t="s">
        <v>248</v>
      </c>
      <c r="N26" s="5" t="str">
        <f>HYPERLINK("https://www.google.com/maps/search/?api=1&amp;query=1829 Cornelia S, Ridgewood, New York 11385", "OPEN MAP")</f>
        <v>OPEN MAP</v>
      </c>
      <c r="O26" s="1" t="s">
        <v>249</v>
      </c>
      <c r="P26" s="1" t="s">
        <v>250</v>
      </c>
      <c r="Q26" s="1" t="s">
        <v>251</v>
      </c>
      <c r="R26" s="1">
        <v>11385</v>
      </c>
      <c r="S26" s="6" t="s">
        <v>252</v>
      </c>
      <c r="T26" s="7"/>
      <c r="U26" s="8"/>
      <c r="V26" s="8">
        <v>38462</v>
      </c>
      <c r="W26" s="7">
        <v>327000</v>
      </c>
      <c r="X26" s="8">
        <v>39520</v>
      </c>
      <c r="Y26" s="7">
        <v>402641</v>
      </c>
      <c r="Z26" s="1" t="s">
        <v>253</v>
      </c>
      <c r="AA26" s="1" t="s">
        <v>254</v>
      </c>
      <c r="AB26" s="1" t="s">
        <v>255</v>
      </c>
      <c r="AC26" s="1" t="s">
        <v>256</v>
      </c>
      <c r="AD26" s="1"/>
      <c r="AE26" s="1"/>
    </row>
    <row r="27" spans="1:31" x14ac:dyDescent="0.2">
      <c r="A27" s="9" t="s">
        <v>31</v>
      </c>
      <c r="B27" s="9"/>
      <c r="C27" s="10">
        <v>45891</v>
      </c>
      <c r="D27" s="9" t="s">
        <v>32</v>
      </c>
      <c r="E27" s="9" t="s">
        <v>33</v>
      </c>
      <c r="F27" s="11" t="s">
        <v>257</v>
      </c>
      <c r="G27" s="9">
        <v>2024</v>
      </c>
      <c r="H27" s="9" t="s">
        <v>258</v>
      </c>
      <c r="I27" s="9" t="s">
        <v>259</v>
      </c>
      <c r="J27" s="9" t="s">
        <v>260</v>
      </c>
      <c r="K27" s="9" t="s">
        <v>260</v>
      </c>
      <c r="L27" s="9"/>
      <c r="M27" s="9" t="s">
        <v>261</v>
      </c>
      <c r="N27" s="12" t="str">
        <f>HYPERLINK("https://www.google.com/maps/search/?api=1&amp;query=107-01 Rockaway Boulevard, Ozone Park, NY", "OPEN MAP")</f>
        <v>OPEN MAP</v>
      </c>
      <c r="O27" s="9" t="s">
        <v>262</v>
      </c>
      <c r="P27" s="9" t="s">
        <v>263</v>
      </c>
      <c r="Q27" s="9" t="s">
        <v>43</v>
      </c>
      <c r="R27" s="9"/>
      <c r="S27" s="13" t="s">
        <v>264</v>
      </c>
      <c r="T27" s="14">
        <v>323871.61</v>
      </c>
      <c r="U27" s="15">
        <v>45740</v>
      </c>
      <c r="V27" s="15"/>
      <c r="W27" s="14"/>
      <c r="X27" s="15"/>
      <c r="Y27" s="14"/>
      <c r="Z27" s="9"/>
      <c r="AA27" s="9" t="s">
        <v>265</v>
      </c>
      <c r="AB27" s="9" t="s">
        <v>266</v>
      </c>
      <c r="AC27" s="9"/>
      <c r="AD27" s="9" t="s">
        <v>267</v>
      </c>
      <c r="AE27" s="9"/>
    </row>
    <row r="28" spans="1:31" x14ac:dyDescent="0.2">
      <c r="A28" s="1" t="s">
        <v>31</v>
      </c>
      <c r="B28" s="1"/>
      <c r="C28" s="3">
        <v>45891</v>
      </c>
      <c r="D28" s="1" t="s">
        <v>49</v>
      </c>
      <c r="E28" s="1" t="s">
        <v>33</v>
      </c>
      <c r="F28" s="4" t="s">
        <v>268</v>
      </c>
      <c r="G28" s="1">
        <v>2009</v>
      </c>
      <c r="H28" s="1" t="s">
        <v>269</v>
      </c>
      <c r="I28" s="1" t="s">
        <v>270</v>
      </c>
      <c r="J28" s="1" t="s">
        <v>271</v>
      </c>
      <c r="K28" s="1" t="s">
        <v>271</v>
      </c>
      <c r="L28" s="1"/>
      <c r="M28" s="1" t="s">
        <v>272</v>
      </c>
      <c r="N28" s="5" t="str">
        <f>HYPERLINK("https://www.google.com/maps/search/?api=1&amp;query=116-12 169TH STREET, JAMAICA, NY 11434", "OPEN MAP")</f>
        <v>OPEN MAP</v>
      </c>
      <c r="O28" s="1" t="s">
        <v>273</v>
      </c>
      <c r="P28" s="1" t="s">
        <v>274</v>
      </c>
      <c r="Q28" s="1" t="s">
        <v>43</v>
      </c>
      <c r="R28" s="1">
        <v>11434</v>
      </c>
      <c r="S28" s="6" t="s">
        <v>275</v>
      </c>
      <c r="T28" s="7"/>
      <c r="U28" s="8">
        <v>45755</v>
      </c>
      <c r="V28" s="8"/>
      <c r="W28" s="7"/>
      <c r="X28" s="8"/>
      <c r="Y28" s="7"/>
      <c r="Z28" s="1" t="s">
        <v>276</v>
      </c>
      <c r="AA28" s="1" t="s">
        <v>60</v>
      </c>
      <c r="AB28" s="1" t="s">
        <v>61</v>
      </c>
      <c r="AC28" s="1"/>
      <c r="AD28" s="1" t="s">
        <v>276</v>
      </c>
      <c r="AE28" s="1"/>
    </row>
    <row r="29" spans="1:31" x14ac:dyDescent="0.2">
      <c r="A29" s="9" t="s">
        <v>31</v>
      </c>
      <c r="B29" s="9"/>
      <c r="C29" s="10">
        <v>45891</v>
      </c>
      <c r="D29" s="9" t="s">
        <v>32</v>
      </c>
      <c r="E29" s="9"/>
      <c r="F29" s="11" t="s">
        <v>277</v>
      </c>
      <c r="G29" s="9">
        <v>2018</v>
      </c>
      <c r="H29" s="9" t="s">
        <v>278</v>
      </c>
      <c r="I29" s="9" t="s">
        <v>279</v>
      </c>
      <c r="J29" s="9" t="s">
        <v>280</v>
      </c>
      <c r="K29" s="9" t="s">
        <v>281</v>
      </c>
      <c r="L29" s="9"/>
      <c r="M29" s="9" t="s">
        <v>282</v>
      </c>
      <c r="N29" s="12" t="str">
        <f>HYPERLINK("https://www.google.com/maps/search/?api=1&amp;query=60TH LANE, MASPETH, NY 11378", "OPEN MAP")</f>
        <v>OPEN MAP</v>
      </c>
      <c r="O29" s="9" t="s">
        <v>283</v>
      </c>
      <c r="P29" s="9" t="s">
        <v>284</v>
      </c>
      <c r="Q29" s="9" t="s">
        <v>43</v>
      </c>
      <c r="R29" s="9">
        <v>11378</v>
      </c>
      <c r="S29" s="13" t="s">
        <v>285</v>
      </c>
      <c r="T29" s="14">
        <v>499765.92</v>
      </c>
      <c r="U29" s="15">
        <v>45594</v>
      </c>
      <c r="V29" s="15"/>
      <c r="W29" s="14"/>
      <c r="X29" s="15"/>
      <c r="Y29" s="14"/>
      <c r="Z29" s="9" t="s">
        <v>286</v>
      </c>
      <c r="AA29" s="9" t="s">
        <v>287</v>
      </c>
      <c r="AB29" s="9" t="s">
        <v>288</v>
      </c>
      <c r="AC29" s="9" t="s">
        <v>289</v>
      </c>
      <c r="AD29" s="9" t="s">
        <v>290</v>
      </c>
      <c r="AE29" s="9"/>
    </row>
    <row r="30" spans="1:31" x14ac:dyDescent="0.2">
      <c r="A30" s="1" t="s">
        <v>31</v>
      </c>
      <c r="B30" s="1"/>
      <c r="C30" s="3">
        <v>45891</v>
      </c>
      <c r="D30" s="1" t="s">
        <v>49</v>
      </c>
      <c r="E30" s="1"/>
      <c r="F30" s="4" t="s">
        <v>291</v>
      </c>
      <c r="G30" s="1">
        <v>2015</v>
      </c>
      <c r="H30" s="1" t="s">
        <v>292</v>
      </c>
      <c r="I30" s="1" t="s">
        <v>293</v>
      </c>
      <c r="J30" s="1" t="s">
        <v>294</v>
      </c>
      <c r="K30" s="1" t="s">
        <v>295</v>
      </c>
      <c r="L30" s="1"/>
      <c r="M30" s="1" t="s">
        <v>296</v>
      </c>
      <c r="N30" s="5" t="str">
        <f>HYPERLINK("https://www.google.com/maps/search/?api=1&amp;query=9021 207th Street, Queens Village, NY 11428", "OPEN MAP")</f>
        <v>OPEN MAP</v>
      </c>
      <c r="O30" s="1" t="s">
        <v>297</v>
      </c>
      <c r="P30" s="1" t="s">
        <v>178</v>
      </c>
      <c r="Q30" s="1" t="s">
        <v>43</v>
      </c>
      <c r="R30" s="1">
        <v>11428</v>
      </c>
      <c r="S30" s="6" t="s">
        <v>298</v>
      </c>
      <c r="T30" s="7">
        <v>468920.01</v>
      </c>
      <c r="U30" s="8">
        <v>43782</v>
      </c>
      <c r="V30" s="8"/>
      <c r="W30" s="7"/>
      <c r="X30" s="8"/>
      <c r="Y30" s="7"/>
      <c r="Z30" s="1"/>
      <c r="AA30" s="1" t="s">
        <v>239</v>
      </c>
      <c r="AB30" s="1" t="s">
        <v>240</v>
      </c>
      <c r="AC30" s="1"/>
      <c r="AD30" s="1" t="s">
        <v>102</v>
      </c>
      <c r="AE30" s="1"/>
    </row>
    <row r="31" spans="1:31" x14ac:dyDescent="0.2">
      <c r="A31" s="9" t="s">
        <v>31</v>
      </c>
      <c r="B31" s="9"/>
      <c r="C31" s="10">
        <v>45891</v>
      </c>
      <c r="D31" s="9" t="s">
        <v>49</v>
      </c>
      <c r="E31" s="9"/>
      <c r="F31" s="11" t="s">
        <v>299</v>
      </c>
      <c r="G31" s="9">
        <v>2020</v>
      </c>
      <c r="H31" s="9" t="s">
        <v>300</v>
      </c>
      <c r="I31" s="9" t="s">
        <v>301</v>
      </c>
      <c r="J31" s="9" t="s">
        <v>302</v>
      </c>
      <c r="K31" s="9" t="s">
        <v>303</v>
      </c>
      <c r="L31" s="9" t="s">
        <v>304</v>
      </c>
      <c r="M31" s="9" t="s">
        <v>305</v>
      </c>
      <c r="N31" s="12" t="str">
        <f>HYPERLINK("https://www.google.com/maps/search/?api=1&amp;query=11619 125th Street, South Ozone Park, NY 11420", "OPEN MAP")</f>
        <v>OPEN MAP</v>
      </c>
      <c r="O31" s="9" t="s">
        <v>306</v>
      </c>
      <c r="P31" s="9" t="s">
        <v>237</v>
      </c>
      <c r="Q31" s="9" t="s">
        <v>43</v>
      </c>
      <c r="R31" s="9">
        <v>11420</v>
      </c>
      <c r="S31" s="13" t="s">
        <v>307</v>
      </c>
      <c r="T31" s="14">
        <v>371194.69</v>
      </c>
      <c r="U31" s="15">
        <v>45244</v>
      </c>
      <c r="V31" s="15"/>
      <c r="W31" s="14"/>
      <c r="X31" s="15"/>
      <c r="Y31" s="14"/>
      <c r="Z31" s="9"/>
      <c r="AA31" s="9" t="s">
        <v>308</v>
      </c>
      <c r="AB31" s="9" t="s">
        <v>309</v>
      </c>
      <c r="AC31" s="9"/>
      <c r="AD31" s="9" t="s">
        <v>310</v>
      </c>
      <c r="AE31" s="9"/>
    </row>
    <row r="32" spans="1:31" x14ac:dyDescent="0.2">
      <c r="A32" s="1" t="s">
        <v>31</v>
      </c>
      <c r="B32" s="1"/>
      <c r="C32" s="3">
        <v>45891</v>
      </c>
      <c r="D32" s="1" t="s">
        <v>49</v>
      </c>
      <c r="E32" s="1"/>
      <c r="F32" s="4" t="s">
        <v>311</v>
      </c>
      <c r="G32" s="1">
        <v>2016</v>
      </c>
      <c r="H32" s="1" t="s">
        <v>312</v>
      </c>
      <c r="I32" s="1" t="s">
        <v>118</v>
      </c>
      <c r="J32" s="1" t="s">
        <v>313</v>
      </c>
      <c r="K32" s="1" t="s">
        <v>313</v>
      </c>
      <c r="L32" s="1" t="s">
        <v>314</v>
      </c>
      <c r="M32" s="1" t="s">
        <v>315</v>
      </c>
      <c r="N32" s="5" t="str">
        <f>HYPERLINK("https://www.google.com/maps/search/?api=1&amp;query=133-01 116th Street, South Ozone Park, New York 11420", "OPEN MAP")</f>
        <v>OPEN MAP</v>
      </c>
      <c r="O32" s="1" t="s">
        <v>316</v>
      </c>
      <c r="P32" s="1" t="s">
        <v>237</v>
      </c>
      <c r="Q32" s="1" t="s">
        <v>251</v>
      </c>
      <c r="R32" s="1">
        <v>11420</v>
      </c>
      <c r="S32" s="6" t="s">
        <v>317</v>
      </c>
      <c r="T32" s="7">
        <v>448629.02</v>
      </c>
      <c r="U32" s="8">
        <v>44789</v>
      </c>
      <c r="V32" s="8"/>
      <c r="W32" s="7"/>
      <c r="X32" s="8"/>
      <c r="Y32" s="7"/>
      <c r="Z32" s="1"/>
      <c r="AA32" s="1" t="s">
        <v>318</v>
      </c>
      <c r="AB32" s="1" t="s">
        <v>319</v>
      </c>
      <c r="AC32" s="1" t="s">
        <v>256</v>
      </c>
      <c r="AD32" s="1" t="s">
        <v>320</v>
      </c>
      <c r="AE32" s="1"/>
    </row>
    <row r="33" spans="1:31" x14ac:dyDescent="0.2">
      <c r="A33" s="9" t="s">
        <v>31</v>
      </c>
      <c r="B33" s="9"/>
      <c r="C33" s="10">
        <v>45891</v>
      </c>
      <c r="D33" s="9" t="s">
        <v>49</v>
      </c>
      <c r="E33" s="9"/>
      <c r="F33" s="11" t="s">
        <v>321</v>
      </c>
      <c r="G33" s="9">
        <v>2019</v>
      </c>
      <c r="H33" s="9" t="s">
        <v>322</v>
      </c>
      <c r="I33" s="9" t="s">
        <v>323</v>
      </c>
      <c r="J33" s="9" t="s">
        <v>324</v>
      </c>
      <c r="K33" s="9" t="s">
        <v>324</v>
      </c>
      <c r="L33" s="9"/>
      <c r="M33" s="9" t="s">
        <v>325</v>
      </c>
      <c r="N33" s="12" t="str">
        <f>HYPERLINK("https://www.google.com/maps/search/?api=1&amp;query=114-19 149TH STREET, JAMAICA a/k/a SOUTH OZONE PARK, NY 11436", "OPEN MAP")</f>
        <v>OPEN MAP</v>
      </c>
      <c r="O33" s="9" t="s">
        <v>326</v>
      </c>
      <c r="P33" s="9" t="s">
        <v>274</v>
      </c>
      <c r="Q33" s="9" t="s">
        <v>43</v>
      </c>
      <c r="R33" s="9">
        <v>11436</v>
      </c>
      <c r="S33" s="13" t="s">
        <v>327</v>
      </c>
      <c r="T33" s="14">
        <v>296943.78000000003</v>
      </c>
      <c r="U33" s="15">
        <v>44547</v>
      </c>
      <c r="V33" s="15"/>
      <c r="W33" s="14"/>
      <c r="X33" s="15"/>
      <c r="Y33" s="14"/>
      <c r="Z33" s="9"/>
      <c r="AA33" s="9" t="s">
        <v>328</v>
      </c>
      <c r="AB33" s="9" t="s">
        <v>329</v>
      </c>
      <c r="AC33" s="9"/>
      <c r="AD33" s="9" t="s">
        <v>330</v>
      </c>
      <c r="AE33" s="9"/>
    </row>
    <row r="34" spans="1:31" x14ac:dyDescent="0.2">
      <c r="A34" s="1" t="s">
        <v>31</v>
      </c>
      <c r="B34" s="1"/>
      <c r="C34" s="3">
        <v>45891</v>
      </c>
      <c r="D34" s="1" t="s">
        <v>49</v>
      </c>
      <c r="E34" s="1"/>
      <c r="F34" s="4" t="s">
        <v>331</v>
      </c>
      <c r="G34" s="1">
        <v>2021</v>
      </c>
      <c r="H34" s="1" t="s">
        <v>332</v>
      </c>
      <c r="I34" s="1" t="s">
        <v>333</v>
      </c>
      <c r="J34" s="1" t="s">
        <v>334</v>
      </c>
      <c r="K34" s="1" t="s">
        <v>334</v>
      </c>
      <c r="L34" s="1"/>
      <c r="M34" s="1" t="s">
        <v>335</v>
      </c>
      <c r="N34" s="5" t="str">
        <f>HYPERLINK("https://www.google.com/maps/search/?api=1&amp;query=11117 133RD STREET, SOUTH OZONE PARK, NY 11420", "OPEN MAP")</f>
        <v>OPEN MAP</v>
      </c>
      <c r="O34" s="1" t="s">
        <v>336</v>
      </c>
      <c r="P34" s="1" t="s">
        <v>207</v>
      </c>
      <c r="Q34" s="1" t="s">
        <v>43</v>
      </c>
      <c r="R34" s="1">
        <v>11420</v>
      </c>
      <c r="S34" s="6" t="s">
        <v>337</v>
      </c>
      <c r="T34" s="7"/>
      <c r="U34" s="8">
        <v>45776</v>
      </c>
      <c r="V34" s="8"/>
      <c r="W34" s="7"/>
      <c r="X34" s="8"/>
      <c r="Y34" s="7"/>
      <c r="Z34" s="1"/>
      <c r="AA34" s="1" t="s">
        <v>60</v>
      </c>
      <c r="AB34" s="1" t="s">
        <v>61</v>
      </c>
      <c r="AC34" s="1"/>
      <c r="AD34" s="1" t="s">
        <v>338</v>
      </c>
      <c r="AE34" s="1"/>
    </row>
    <row r="35" spans="1:31" x14ac:dyDescent="0.2">
      <c r="A35" s="9" t="s">
        <v>31</v>
      </c>
      <c r="B35" s="9"/>
      <c r="C35" s="10">
        <v>45891</v>
      </c>
      <c r="D35" s="9" t="s">
        <v>49</v>
      </c>
      <c r="E35" s="9"/>
      <c r="F35" s="11" t="s">
        <v>339</v>
      </c>
      <c r="G35" s="9">
        <v>2020</v>
      </c>
      <c r="H35" s="9" t="s">
        <v>340</v>
      </c>
      <c r="I35" s="9" t="s">
        <v>341</v>
      </c>
      <c r="J35" s="9" t="s">
        <v>342</v>
      </c>
      <c r="K35" s="9" t="s">
        <v>343</v>
      </c>
      <c r="L35" s="9" t="s">
        <v>344</v>
      </c>
      <c r="M35" s="9" t="s">
        <v>345</v>
      </c>
      <c r="N35" s="12" t="str">
        <f>HYPERLINK("https://www.google.com/maps/search/?api=1&amp;query=114-29 158th Street, Jamaica, NY 11434", "OPEN MAP")</f>
        <v>OPEN MAP</v>
      </c>
      <c r="O35" s="9" t="s">
        <v>346</v>
      </c>
      <c r="P35" s="9" t="s">
        <v>42</v>
      </c>
      <c r="Q35" s="9" t="s">
        <v>43</v>
      </c>
      <c r="R35" s="9">
        <v>11434</v>
      </c>
      <c r="S35" s="13" t="s">
        <v>347</v>
      </c>
      <c r="T35" s="14">
        <v>620632.92000000004</v>
      </c>
      <c r="U35" s="15">
        <v>45229</v>
      </c>
      <c r="V35" s="15"/>
      <c r="W35" s="14"/>
      <c r="X35" s="15"/>
      <c r="Y35" s="14"/>
      <c r="Z35" s="9"/>
      <c r="AA35" s="9" t="s">
        <v>348</v>
      </c>
      <c r="AB35" s="9" t="s">
        <v>349</v>
      </c>
      <c r="AC35" s="9"/>
      <c r="AD35" s="9" t="s">
        <v>350</v>
      </c>
      <c r="AE35" s="9"/>
    </row>
    <row r="36" spans="1:31" x14ac:dyDescent="0.2">
      <c r="A36" s="1" t="s">
        <v>31</v>
      </c>
      <c r="B36" s="1"/>
      <c r="C36" s="3">
        <v>45891</v>
      </c>
      <c r="D36" s="1" t="s">
        <v>49</v>
      </c>
      <c r="E36" s="1" t="s">
        <v>33</v>
      </c>
      <c r="F36" s="4" t="s">
        <v>351</v>
      </c>
      <c r="G36" s="1">
        <v>2013</v>
      </c>
      <c r="H36" s="1" t="s">
        <v>352</v>
      </c>
      <c r="I36" s="1" t="s">
        <v>353</v>
      </c>
      <c r="J36" s="1" t="s">
        <v>354</v>
      </c>
      <c r="K36" s="1" t="s">
        <v>354</v>
      </c>
      <c r="L36" s="1"/>
      <c r="M36" s="1" t="s">
        <v>355</v>
      </c>
      <c r="N36" s="5" t="str">
        <f>HYPERLINK("https://www.google.com/maps/search/?api=1&amp;query=113-25 197th Street a/k/a 11325 197th Street, Saint Albans, New York 11412", "OPEN MAP")</f>
        <v>OPEN MAP</v>
      </c>
      <c r="O36" s="1" t="s">
        <v>356</v>
      </c>
      <c r="P36" s="1" t="s">
        <v>357</v>
      </c>
      <c r="Q36" s="1" t="s">
        <v>251</v>
      </c>
      <c r="R36" s="1">
        <v>11412</v>
      </c>
      <c r="S36" s="6" t="s">
        <v>358</v>
      </c>
      <c r="T36" s="7"/>
      <c r="U36" s="8"/>
      <c r="V36" s="8">
        <v>39139</v>
      </c>
      <c r="W36" s="7">
        <v>376000</v>
      </c>
      <c r="X36" s="8"/>
      <c r="Y36" s="7"/>
      <c r="Z36" s="1" t="s">
        <v>359</v>
      </c>
      <c r="AA36" s="1" t="s">
        <v>318</v>
      </c>
      <c r="AB36" s="1" t="s">
        <v>360</v>
      </c>
      <c r="AC36" s="1" t="s">
        <v>361</v>
      </c>
      <c r="AD36" s="1"/>
      <c r="AE36" s="1"/>
    </row>
    <row r="37" spans="1:31" x14ac:dyDescent="0.2">
      <c r="A37" s="9" t="s">
        <v>31</v>
      </c>
      <c r="B37" s="9"/>
      <c r="C37" s="10">
        <v>45891</v>
      </c>
      <c r="D37" s="9" t="s">
        <v>32</v>
      </c>
      <c r="E37" s="9"/>
      <c r="F37" s="11" t="s">
        <v>362</v>
      </c>
      <c r="G37" s="9">
        <v>2010</v>
      </c>
      <c r="H37" s="9" t="s">
        <v>363</v>
      </c>
      <c r="I37" s="9" t="s">
        <v>364</v>
      </c>
      <c r="J37" s="9" t="s">
        <v>365</v>
      </c>
      <c r="K37" s="9" t="s">
        <v>365</v>
      </c>
      <c r="L37" s="9"/>
      <c r="M37" s="9" t="s">
        <v>366</v>
      </c>
      <c r="N37" s="12" t="str">
        <f>HYPERLINK("https://www.google.com/maps/search/?api=1&amp;query=10454 164th Street, Jamaica, NY 11433", "OPEN MAP")</f>
        <v>OPEN MAP</v>
      </c>
      <c r="O37" s="9" t="s">
        <v>367</v>
      </c>
      <c r="P37" s="9" t="s">
        <v>42</v>
      </c>
      <c r="Q37" s="9" t="s">
        <v>43</v>
      </c>
      <c r="R37" s="9">
        <v>11433</v>
      </c>
      <c r="S37" s="13" t="s">
        <v>368</v>
      </c>
      <c r="T37" s="14">
        <v>710261.25</v>
      </c>
      <c r="U37" s="15">
        <v>43146</v>
      </c>
      <c r="V37" s="15"/>
      <c r="W37" s="14"/>
      <c r="X37" s="15"/>
      <c r="Y37" s="14"/>
      <c r="Z37" s="9"/>
      <c r="AA37" s="9" t="s">
        <v>91</v>
      </c>
      <c r="AB37" s="9" t="s">
        <v>92</v>
      </c>
      <c r="AC37" s="9"/>
      <c r="AD37" s="9" t="s">
        <v>350</v>
      </c>
      <c r="AE37" s="9"/>
    </row>
    <row r="38" spans="1:31" x14ac:dyDescent="0.2">
      <c r="A38" s="1" t="s">
        <v>31</v>
      </c>
      <c r="B38" s="1"/>
      <c r="C38" s="3">
        <v>45891</v>
      </c>
      <c r="D38" s="1" t="s">
        <v>49</v>
      </c>
      <c r="E38" s="1" t="s">
        <v>33</v>
      </c>
      <c r="F38" s="4" t="s">
        <v>369</v>
      </c>
      <c r="G38" s="1">
        <v>2022</v>
      </c>
      <c r="H38" s="1" t="s">
        <v>370</v>
      </c>
      <c r="I38" s="1" t="s">
        <v>371</v>
      </c>
      <c r="J38" s="1" t="s">
        <v>372</v>
      </c>
      <c r="K38" s="1" t="s">
        <v>372</v>
      </c>
      <c r="L38" s="1"/>
      <c r="M38" s="1" t="s">
        <v>373</v>
      </c>
      <c r="N38" s="5" t="str">
        <f>HYPERLINK("https://www.google.com/maps/search/?api=1&amp;query=115-111 230TH STREET, CAMBRIA HEIGHTS, NY 11411", "OPEN MAP")</f>
        <v>OPEN MAP</v>
      </c>
      <c r="O38" s="1" t="s">
        <v>374</v>
      </c>
      <c r="P38" s="1" t="s">
        <v>375</v>
      </c>
      <c r="Q38" s="1" t="s">
        <v>43</v>
      </c>
      <c r="R38" s="1">
        <v>11411</v>
      </c>
      <c r="S38" s="6" t="s">
        <v>376</v>
      </c>
      <c r="T38" s="7"/>
      <c r="U38" s="8">
        <v>45769</v>
      </c>
      <c r="V38" s="8"/>
      <c r="W38" s="7"/>
      <c r="X38" s="8"/>
      <c r="Y38" s="7"/>
      <c r="Z38" s="1"/>
      <c r="AA38" s="1" t="s">
        <v>60</v>
      </c>
      <c r="AB38" s="1" t="s">
        <v>61</v>
      </c>
      <c r="AC38" s="1"/>
      <c r="AD38" s="1" t="s">
        <v>102</v>
      </c>
      <c r="AE38" s="1"/>
    </row>
    <row r="39" spans="1:31" x14ac:dyDescent="0.2">
      <c r="A39" s="9" t="s">
        <v>31</v>
      </c>
      <c r="B39" s="9"/>
      <c r="C39" s="10">
        <v>45891</v>
      </c>
      <c r="D39" s="9" t="s">
        <v>32</v>
      </c>
      <c r="E39" s="9" t="s">
        <v>33</v>
      </c>
      <c r="F39" s="11" t="s">
        <v>377</v>
      </c>
      <c r="G39" s="9">
        <v>2022</v>
      </c>
      <c r="H39" s="9" t="s">
        <v>378</v>
      </c>
      <c r="I39" s="9" t="s">
        <v>379</v>
      </c>
      <c r="J39" s="9" t="s">
        <v>380</v>
      </c>
      <c r="K39" s="9" t="s">
        <v>381</v>
      </c>
      <c r="L39" s="9"/>
      <c r="M39" s="9" t="s">
        <v>382</v>
      </c>
      <c r="N39" s="12" t="str">
        <f>HYPERLINK("https://www.google.com/maps/search/?api=1&amp;query=81-33 Liberty Avenue, City of New York, New York 11417", "OPEN MAP")</f>
        <v>OPEN MAP</v>
      </c>
      <c r="O39" s="9" t="s">
        <v>383</v>
      </c>
      <c r="P39" s="9" t="s">
        <v>251</v>
      </c>
      <c r="Q39" s="9" t="s">
        <v>251</v>
      </c>
      <c r="R39" s="9">
        <v>11417</v>
      </c>
      <c r="S39" s="13" t="s">
        <v>384</v>
      </c>
      <c r="T39" s="14">
        <v>248591.02</v>
      </c>
      <c r="U39" s="15">
        <v>45824</v>
      </c>
      <c r="V39" s="15"/>
      <c r="W39" s="14"/>
      <c r="X39" s="15"/>
      <c r="Y39" s="14"/>
      <c r="Z39" s="9"/>
      <c r="AA39" s="9" t="s">
        <v>385</v>
      </c>
      <c r="AB39" s="9" t="s">
        <v>386</v>
      </c>
      <c r="AC39" s="9" t="s">
        <v>387</v>
      </c>
      <c r="AD39" s="9" t="s">
        <v>388</v>
      </c>
      <c r="AE39" s="9"/>
    </row>
    <row r="40" spans="1:31" x14ac:dyDescent="0.2">
      <c r="A40" s="1" t="s">
        <v>31</v>
      </c>
      <c r="B40" s="1"/>
      <c r="C40" s="3">
        <v>45891</v>
      </c>
      <c r="D40" s="1" t="s">
        <v>49</v>
      </c>
      <c r="E40" s="1"/>
      <c r="F40" s="4" t="s">
        <v>389</v>
      </c>
      <c r="G40" s="1">
        <v>2015</v>
      </c>
      <c r="H40" s="1" t="s">
        <v>390</v>
      </c>
      <c r="I40" s="1" t="s">
        <v>391</v>
      </c>
      <c r="J40" s="1" t="s">
        <v>392</v>
      </c>
      <c r="K40" s="1" t="s">
        <v>392</v>
      </c>
      <c r="L40" s="1"/>
      <c r="M40" s="1" t="s">
        <v>393</v>
      </c>
      <c r="N40" s="5" t="str">
        <f>HYPERLINK("https://www.google.com/maps/search/?api=1&amp;query=8730 62nd Avenue Apartment 3G, Rego Park, NY 11374", "OPEN MAP")</f>
        <v>OPEN MAP</v>
      </c>
      <c r="O40" s="1" t="s">
        <v>394</v>
      </c>
      <c r="P40" s="1" t="s">
        <v>395</v>
      </c>
      <c r="Q40" s="1" t="s">
        <v>43</v>
      </c>
      <c r="R40" s="1">
        <v>11374</v>
      </c>
      <c r="S40" s="6" t="s">
        <v>396</v>
      </c>
      <c r="T40" s="7">
        <v>363787.62</v>
      </c>
      <c r="U40" s="8">
        <v>45820</v>
      </c>
      <c r="V40" s="8"/>
      <c r="W40" s="7"/>
      <c r="X40" s="8"/>
      <c r="Y40" s="7"/>
      <c r="Z40" s="1"/>
      <c r="AA40" s="1" t="s">
        <v>45</v>
      </c>
      <c r="AB40" s="1" t="s">
        <v>46</v>
      </c>
      <c r="AC40" s="1" t="s">
        <v>47</v>
      </c>
      <c r="AD40" s="1" t="s">
        <v>397</v>
      </c>
      <c r="AE40" s="1"/>
    </row>
    <row r="41" spans="1:31" x14ac:dyDescent="0.2">
      <c r="A41" s="9" t="s">
        <v>31</v>
      </c>
      <c r="B41" s="9"/>
      <c r="C41" s="10">
        <v>45891</v>
      </c>
      <c r="D41" s="9" t="s">
        <v>32</v>
      </c>
      <c r="E41" s="9" t="s">
        <v>33</v>
      </c>
      <c r="F41" s="11" t="s">
        <v>398</v>
      </c>
      <c r="G41" s="9">
        <v>2024</v>
      </c>
      <c r="H41" s="9" t="s">
        <v>399</v>
      </c>
      <c r="I41" s="9" t="s">
        <v>400</v>
      </c>
      <c r="J41" s="9" t="s">
        <v>401</v>
      </c>
      <c r="K41" s="9" t="s">
        <v>401</v>
      </c>
      <c r="L41" s="9"/>
      <c r="M41" s="9" t="s">
        <v>402</v>
      </c>
      <c r="N41" s="12" t="str">
        <f>HYPERLINK("https://www.google.com/maps/search/?api=1&amp;query=108-46 171st Place, Jamaica, NY 11433", "OPEN MAP")</f>
        <v>OPEN MAP</v>
      </c>
      <c r="O41" s="9" t="s">
        <v>403</v>
      </c>
      <c r="P41" s="9" t="s">
        <v>42</v>
      </c>
      <c r="Q41" s="9" t="s">
        <v>43</v>
      </c>
      <c r="R41" s="9">
        <v>11433</v>
      </c>
      <c r="S41" s="13" t="s">
        <v>404</v>
      </c>
      <c r="T41" s="14">
        <v>459959.35</v>
      </c>
      <c r="U41" s="15">
        <v>45838</v>
      </c>
      <c r="V41" s="15"/>
      <c r="W41" s="14"/>
      <c r="X41" s="15"/>
      <c r="Y41" s="14"/>
      <c r="Z41" s="9"/>
      <c r="AA41" s="9" t="s">
        <v>405</v>
      </c>
      <c r="AB41" s="9" t="s">
        <v>406</v>
      </c>
      <c r="AC41" s="9"/>
      <c r="AD41" s="9" t="s">
        <v>407</v>
      </c>
      <c r="AE41" s="9"/>
    </row>
    <row r="42" spans="1:31" x14ac:dyDescent="0.2">
      <c r="A42" s="1" t="s">
        <v>31</v>
      </c>
      <c r="B42" s="1"/>
      <c r="C42" s="3">
        <v>45891</v>
      </c>
      <c r="D42" s="1" t="s">
        <v>49</v>
      </c>
      <c r="E42" s="1"/>
      <c r="F42" s="4" t="s">
        <v>408</v>
      </c>
      <c r="G42" s="1">
        <v>2007</v>
      </c>
      <c r="H42" s="1" t="s">
        <v>409</v>
      </c>
      <c r="I42" s="1" t="s">
        <v>410</v>
      </c>
      <c r="J42" s="1" t="s">
        <v>411</v>
      </c>
      <c r="K42" s="1" t="s">
        <v>411</v>
      </c>
      <c r="L42" s="1"/>
      <c r="M42" s="1" t="s">
        <v>412</v>
      </c>
      <c r="N42" s="5" t="str">
        <f>HYPERLINK("https://www.google.com/maps/search/?api=1&amp;query=97-48 Corona Avenue, Corona, NY 11368", "OPEN MAP")</f>
        <v>OPEN MAP</v>
      </c>
      <c r="O42" s="1" t="s">
        <v>413</v>
      </c>
      <c r="P42" s="1" t="s">
        <v>228</v>
      </c>
      <c r="Q42" s="1" t="s">
        <v>43</v>
      </c>
      <c r="R42" s="1">
        <v>11368</v>
      </c>
      <c r="S42" s="6" t="s">
        <v>414</v>
      </c>
      <c r="T42" s="7">
        <v>1415741.74</v>
      </c>
      <c r="U42" s="8">
        <v>43053</v>
      </c>
      <c r="V42" s="8"/>
      <c r="W42" s="7"/>
      <c r="X42" s="8"/>
      <c r="Y42" s="7"/>
      <c r="Z42" s="1"/>
      <c r="AA42" s="1" t="s">
        <v>415</v>
      </c>
      <c r="AB42" s="1" t="s">
        <v>416</v>
      </c>
      <c r="AC42" s="1" t="s">
        <v>417</v>
      </c>
      <c r="AD42" s="1" t="s">
        <v>418</v>
      </c>
      <c r="AE42" s="1"/>
    </row>
    <row r="43" spans="1:31" x14ac:dyDescent="0.2">
      <c r="A43" s="9" t="s">
        <v>31</v>
      </c>
      <c r="B43" s="9"/>
      <c r="C43" s="10">
        <v>45891</v>
      </c>
      <c r="D43" s="9" t="s">
        <v>49</v>
      </c>
      <c r="E43" s="9"/>
      <c r="F43" s="11" t="s">
        <v>419</v>
      </c>
      <c r="G43" s="9">
        <v>2018</v>
      </c>
      <c r="H43" s="9" t="s">
        <v>420</v>
      </c>
      <c r="I43" s="9" t="s">
        <v>421</v>
      </c>
      <c r="J43" s="9" t="s">
        <v>422</v>
      </c>
      <c r="K43" s="9" t="s">
        <v>422</v>
      </c>
      <c r="L43" s="9"/>
      <c r="M43" s="9" t="s">
        <v>423</v>
      </c>
      <c r="N43" s="12" t="str">
        <f>HYPERLINK("https://www.google.com/maps/search/?api=1&amp;query=80-60 87th Road, Woodhaven, NY 11421", "OPEN MAP")</f>
        <v>OPEN MAP</v>
      </c>
      <c r="O43" s="9" t="s">
        <v>424</v>
      </c>
      <c r="P43" s="9" t="s">
        <v>149</v>
      </c>
      <c r="Q43" s="9" t="s">
        <v>43</v>
      </c>
      <c r="R43" s="9">
        <v>11421</v>
      </c>
      <c r="S43" s="13" t="s">
        <v>425</v>
      </c>
      <c r="T43" s="14">
        <v>689255.49</v>
      </c>
      <c r="U43" s="15">
        <v>45061</v>
      </c>
      <c r="V43" s="15"/>
      <c r="W43" s="14"/>
      <c r="X43" s="15"/>
      <c r="Y43" s="14"/>
      <c r="Z43" s="9"/>
      <c r="AA43" s="9" t="s">
        <v>426</v>
      </c>
      <c r="AB43" s="9" t="s">
        <v>427</v>
      </c>
      <c r="AC43" s="9"/>
      <c r="AD43" s="9" t="s">
        <v>428</v>
      </c>
      <c r="AE43" s="9"/>
    </row>
    <row r="44" spans="1:31" x14ac:dyDescent="0.2">
      <c r="A44" s="1" t="s">
        <v>31</v>
      </c>
      <c r="B44" s="1"/>
      <c r="C44" s="3">
        <v>45891</v>
      </c>
      <c r="D44" s="1" t="s">
        <v>32</v>
      </c>
      <c r="E44" s="1" t="s">
        <v>33</v>
      </c>
      <c r="F44" s="4" t="s">
        <v>429</v>
      </c>
      <c r="G44" s="1">
        <v>2016</v>
      </c>
      <c r="H44" s="1" t="s">
        <v>430</v>
      </c>
      <c r="I44" s="1" t="s">
        <v>431</v>
      </c>
      <c r="J44" s="1" t="s">
        <v>432</v>
      </c>
      <c r="K44" s="1" t="s">
        <v>432</v>
      </c>
      <c r="L44" s="1"/>
      <c r="M44" s="1" t="s">
        <v>433</v>
      </c>
      <c r="N44" s="5" t="str">
        <f>HYPERLINK("https://www.google.com/maps/search/?api=1&amp;query=103-19 96th Street, Ozone Park, NY 11417", "OPEN MAP")</f>
        <v>OPEN MAP</v>
      </c>
      <c r="O44" s="1" t="s">
        <v>434</v>
      </c>
      <c r="P44" s="1" t="s">
        <v>263</v>
      </c>
      <c r="Q44" s="1" t="s">
        <v>43</v>
      </c>
      <c r="R44" s="1">
        <v>11417</v>
      </c>
      <c r="S44" s="6" t="s">
        <v>435</v>
      </c>
      <c r="T44" s="7">
        <v>765169.4</v>
      </c>
      <c r="U44" s="8">
        <v>44887</v>
      </c>
      <c r="V44" s="8"/>
      <c r="W44" s="7"/>
      <c r="X44" s="8"/>
      <c r="Y44" s="7"/>
      <c r="Z44" s="1"/>
      <c r="AA44" s="1" t="s">
        <v>45</v>
      </c>
      <c r="AB44" s="1" t="s">
        <v>46</v>
      </c>
      <c r="AC44" s="1" t="s">
        <v>47</v>
      </c>
      <c r="AD44" s="1" t="s">
        <v>436</v>
      </c>
      <c r="AE44" s="1"/>
    </row>
    <row r="45" spans="1:31" x14ac:dyDescent="0.2">
      <c r="A45" s="9" t="s">
        <v>31</v>
      </c>
      <c r="B45" s="9"/>
      <c r="C45" s="10">
        <v>45891</v>
      </c>
      <c r="D45" s="9" t="s">
        <v>32</v>
      </c>
      <c r="E45" s="9"/>
      <c r="F45" s="11" t="s">
        <v>437</v>
      </c>
      <c r="G45" s="9">
        <v>2022</v>
      </c>
      <c r="H45" s="9" t="s">
        <v>438</v>
      </c>
      <c r="I45" s="9" t="s">
        <v>439</v>
      </c>
      <c r="J45" s="9" t="s">
        <v>440</v>
      </c>
      <c r="K45" s="9" t="s">
        <v>440</v>
      </c>
      <c r="L45" s="9"/>
      <c r="M45" s="9" t="s">
        <v>441</v>
      </c>
      <c r="N45" s="12" t="str">
        <f>HYPERLINK("https://www.google.com/maps/search/?api=1&amp;query=103-30 126TH STREET, JAMAICA, NY 11419", "OPEN MAP")</f>
        <v>OPEN MAP</v>
      </c>
      <c r="O45" s="9" t="s">
        <v>442</v>
      </c>
      <c r="P45" s="9" t="s">
        <v>274</v>
      </c>
      <c r="Q45" s="9" t="s">
        <v>43</v>
      </c>
      <c r="R45" s="9">
        <v>11419</v>
      </c>
      <c r="S45" s="13" t="s">
        <v>443</v>
      </c>
      <c r="T45" s="14">
        <v>9792.64</v>
      </c>
      <c r="U45" s="15">
        <v>45397</v>
      </c>
      <c r="V45" s="15"/>
      <c r="W45" s="14"/>
      <c r="X45" s="15"/>
      <c r="Y45" s="14"/>
      <c r="Z45" s="9"/>
      <c r="AA45" s="9" t="s">
        <v>444</v>
      </c>
      <c r="AB45" s="9" t="s">
        <v>445</v>
      </c>
      <c r="AC45" s="9"/>
      <c r="AD45" s="9" t="s">
        <v>446</v>
      </c>
      <c r="AE45" s="9"/>
    </row>
    <row r="46" spans="1:31" x14ac:dyDescent="0.2">
      <c r="A46" s="1" t="s">
        <v>31</v>
      </c>
      <c r="B46" s="1"/>
      <c r="C46" s="3">
        <v>45891</v>
      </c>
      <c r="D46" s="1" t="s">
        <v>49</v>
      </c>
      <c r="E46" s="1"/>
      <c r="F46" s="4" t="s">
        <v>447</v>
      </c>
      <c r="G46" s="1">
        <v>2021</v>
      </c>
      <c r="H46" s="1" t="s">
        <v>448</v>
      </c>
      <c r="I46" s="1" t="s">
        <v>449</v>
      </c>
      <c r="J46" s="1" t="s">
        <v>450</v>
      </c>
      <c r="K46" s="1" t="s">
        <v>450</v>
      </c>
      <c r="L46" s="1"/>
      <c r="M46" s="1" t="s">
        <v>451</v>
      </c>
      <c r="N46" s="5" t="str">
        <f>HYPERLINK("https://www.google.com/maps/search/?api=1&amp;query=103-14 117th Street, Richmond Hill, NY 11419", "OPEN MAP")</f>
        <v>OPEN MAP</v>
      </c>
      <c r="O46" s="1" t="s">
        <v>452</v>
      </c>
      <c r="P46" s="1" t="s">
        <v>453</v>
      </c>
      <c r="Q46" s="1" t="s">
        <v>43</v>
      </c>
      <c r="R46" s="1">
        <v>11419</v>
      </c>
      <c r="S46" s="6" t="s">
        <v>454</v>
      </c>
      <c r="T46" s="7">
        <v>654286.80000000005</v>
      </c>
      <c r="U46" s="8">
        <v>44874</v>
      </c>
      <c r="V46" s="8"/>
      <c r="W46" s="7"/>
      <c r="X46" s="8"/>
      <c r="Y46" s="7"/>
      <c r="Z46" s="1"/>
      <c r="AA46" s="1" t="s">
        <v>348</v>
      </c>
      <c r="AB46" s="1" t="s">
        <v>349</v>
      </c>
      <c r="AC46" s="1"/>
      <c r="AD46" s="1" t="s">
        <v>93</v>
      </c>
      <c r="AE46" s="1"/>
    </row>
    <row r="47" spans="1:31" x14ac:dyDescent="0.2">
      <c r="A47" s="9" t="s">
        <v>31</v>
      </c>
      <c r="B47" s="9"/>
      <c r="C47" s="10">
        <v>45891</v>
      </c>
      <c r="D47" s="9" t="s">
        <v>32</v>
      </c>
      <c r="E47" s="9" t="s">
        <v>33</v>
      </c>
      <c r="F47" s="11" t="s">
        <v>455</v>
      </c>
      <c r="G47" s="9">
        <v>2017</v>
      </c>
      <c r="H47" s="9" t="s">
        <v>456</v>
      </c>
      <c r="I47" s="9" t="s">
        <v>105</v>
      </c>
      <c r="J47" s="9" t="s">
        <v>457</v>
      </c>
      <c r="K47" s="9" t="s">
        <v>457</v>
      </c>
      <c r="L47" s="9"/>
      <c r="M47" s="9" t="s">
        <v>458</v>
      </c>
      <c r="N47" s="12" t="str">
        <f>HYPERLINK("https://www.google.com/maps/search/?api=1&amp;query=162-49 13th Avenue, Whitestone, NY 11357", "OPEN MAP")</f>
        <v>OPEN MAP</v>
      </c>
      <c r="O47" s="9" t="s">
        <v>459</v>
      </c>
      <c r="P47" s="9" t="s">
        <v>460</v>
      </c>
      <c r="Q47" s="9" t="s">
        <v>43</v>
      </c>
      <c r="R47" s="9">
        <v>11357</v>
      </c>
      <c r="S47" s="13" t="s">
        <v>461</v>
      </c>
      <c r="T47" s="14">
        <v>240691.88</v>
      </c>
      <c r="U47" s="15">
        <v>44033</v>
      </c>
      <c r="V47" s="15"/>
      <c r="W47" s="14"/>
      <c r="X47" s="15"/>
      <c r="Y47" s="14"/>
      <c r="Z47" s="9"/>
      <c r="AA47" s="9" t="s">
        <v>45</v>
      </c>
      <c r="AB47" s="9" t="s">
        <v>46</v>
      </c>
      <c r="AC47" s="9" t="s">
        <v>47</v>
      </c>
      <c r="AD47" s="9" t="s">
        <v>462</v>
      </c>
      <c r="AE47" s="9"/>
    </row>
    <row r="48" spans="1:31" x14ac:dyDescent="0.2">
      <c r="A48" s="1" t="s">
        <v>31</v>
      </c>
      <c r="B48" s="1"/>
      <c r="C48" s="3">
        <v>45891</v>
      </c>
      <c r="D48" s="1" t="s">
        <v>49</v>
      </c>
      <c r="E48" s="1"/>
      <c r="F48" s="4" t="s">
        <v>463</v>
      </c>
      <c r="G48" s="1">
        <v>2020</v>
      </c>
      <c r="H48" s="1" t="s">
        <v>464</v>
      </c>
      <c r="I48" s="1" t="s">
        <v>279</v>
      </c>
      <c r="J48" s="1" t="s">
        <v>465</v>
      </c>
      <c r="K48" s="1" t="s">
        <v>466</v>
      </c>
      <c r="L48" s="1"/>
      <c r="M48" s="1" t="s">
        <v>467</v>
      </c>
      <c r="N48" s="5" t="str">
        <f>HYPERLINK("https://www.google.com/maps/search/?api=1&amp;query=143-12 Liberty Avenue, Jamaica, New York 11435", "OPEN MAP")</f>
        <v>OPEN MAP</v>
      </c>
      <c r="O48" s="1" t="s">
        <v>468</v>
      </c>
      <c r="P48" s="1" t="s">
        <v>42</v>
      </c>
      <c r="Q48" s="1" t="s">
        <v>251</v>
      </c>
      <c r="R48" s="1">
        <v>11435</v>
      </c>
      <c r="S48" s="6" t="s">
        <v>469</v>
      </c>
      <c r="T48" s="7"/>
      <c r="U48" s="8"/>
      <c r="V48" s="8"/>
      <c r="W48" s="7"/>
      <c r="X48" s="8"/>
      <c r="Y48" s="7"/>
      <c r="Z48" s="1" t="s">
        <v>470</v>
      </c>
      <c r="AA48" s="1" t="s">
        <v>471</v>
      </c>
      <c r="AB48" s="1" t="s">
        <v>472</v>
      </c>
      <c r="AC48" s="1" t="s">
        <v>473</v>
      </c>
      <c r="AD48" s="1"/>
      <c r="AE48" s="1"/>
    </row>
    <row r="49" spans="1:31" x14ac:dyDescent="0.2">
      <c r="A49" s="9" t="s">
        <v>31</v>
      </c>
      <c r="B49" s="9"/>
      <c r="C49" s="10">
        <v>45898</v>
      </c>
      <c r="D49" s="9" t="s">
        <v>49</v>
      </c>
      <c r="E49" s="9"/>
      <c r="F49" s="11" t="s">
        <v>474</v>
      </c>
      <c r="G49" s="9">
        <v>2016</v>
      </c>
      <c r="H49" s="9" t="s">
        <v>475</v>
      </c>
      <c r="I49" s="9" t="s">
        <v>476</v>
      </c>
      <c r="J49" s="9" t="s">
        <v>477</v>
      </c>
      <c r="K49" s="9" t="s">
        <v>477</v>
      </c>
      <c r="L49" s="9"/>
      <c r="M49" s="9" t="s">
        <v>478</v>
      </c>
      <c r="N49" s="12" t="str">
        <f>HYPERLINK("https://www.google.com/maps/search/?api=1&amp;query=633 Beach 65th Street, Arverne, NY 11692", "OPEN MAP")</f>
        <v>OPEN MAP</v>
      </c>
      <c r="O49" s="9" t="s">
        <v>479</v>
      </c>
      <c r="P49" s="9" t="s">
        <v>480</v>
      </c>
      <c r="Q49" s="9" t="s">
        <v>43</v>
      </c>
      <c r="R49" s="9">
        <v>11692</v>
      </c>
      <c r="S49" s="13" t="s">
        <v>481</v>
      </c>
      <c r="T49" s="14">
        <v>393939.27</v>
      </c>
      <c r="U49" s="15">
        <v>44945</v>
      </c>
      <c r="V49" s="15"/>
      <c r="W49" s="14"/>
      <c r="X49" s="15"/>
      <c r="Y49" s="14"/>
      <c r="Z49" s="9"/>
      <c r="AA49" s="9" t="s">
        <v>482</v>
      </c>
      <c r="AB49" s="9" t="s">
        <v>483</v>
      </c>
      <c r="AC49" s="9"/>
      <c r="AD49" s="9" t="s">
        <v>350</v>
      </c>
      <c r="AE49" s="9"/>
    </row>
    <row r="50" spans="1:31" x14ac:dyDescent="0.2">
      <c r="A50" s="1" t="s">
        <v>115</v>
      </c>
      <c r="B50" s="1"/>
      <c r="C50" s="3">
        <v>45898</v>
      </c>
      <c r="D50" s="1" t="s">
        <v>49</v>
      </c>
      <c r="E50" s="1"/>
      <c r="F50" s="4" t="s">
        <v>484</v>
      </c>
      <c r="G50" s="1">
        <v>2010</v>
      </c>
      <c r="H50" s="1" t="s">
        <v>485</v>
      </c>
      <c r="I50" s="1" t="s">
        <v>486</v>
      </c>
      <c r="J50" s="1" t="s">
        <v>487</v>
      </c>
      <c r="K50" s="1" t="s">
        <v>487</v>
      </c>
      <c r="L50" s="1"/>
      <c r="M50" s="1" t="s">
        <v>488</v>
      </c>
      <c r="N50" s="5" t="str">
        <f>HYPERLINK("https://www.google.com/maps/search/?api=1&amp;query=13713 56th Ave, Flushing, NY 11355", "OPEN MAP")</f>
        <v>OPEN MAP</v>
      </c>
      <c r="O50" s="1" t="s">
        <v>489</v>
      </c>
      <c r="P50" s="1" t="s">
        <v>69</v>
      </c>
      <c r="Q50" s="1" t="s">
        <v>43</v>
      </c>
      <c r="R50" s="1">
        <v>11355</v>
      </c>
      <c r="S50" s="6" t="s">
        <v>490</v>
      </c>
      <c r="T50" s="7">
        <v>1024354.23</v>
      </c>
      <c r="U50" s="8">
        <v>43853</v>
      </c>
      <c r="V50" s="8"/>
      <c r="W50" s="7"/>
      <c r="X50" s="8"/>
      <c r="Y50" s="7"/>
      <c r="Z50" s="1"/>
      <c r="AA50" s="1" t="s">
        <v>415</v>
      </c>
      <c r="AB50" s="1" t="s">
        <v>416</v>
      </c>
      <c r="AC50" s="1" t="s">
        <v>417</v>
      </c>
      <c r="AD50" s="1" t="s">
        <v>491</v>
      </c>
      <c r="AE50" s="1"/>
    </row>
    <row r="51" spans="1:31" x14ac:dyDescent="0.2">
      <c r="A51" s="9" t="s">
        <v>31</v>
      </c>
      <c r="B51" s="9"/>
      <c r="C51" s="10">
        <v>45898</v>
      </c>
      <c r="D51" s="9" t="s">
        <v>49</v>
      </c>
      <c r="E51" s="9"/>
      <c r="F51" s="11" t="s">
        <v>492</v>
      </c>
      <c r="G51" s="9">
        <v>2016</v>
      </c>
      <c r="H51" s="9" t="s">
        <v>493</v>
      </c>
      <c r="I51" s="9" t="s">
        <v>494</v>
      </c>
      <c r="J51" s="9" t="s">
        <v>495</v>
      </c>
      <c r="K51" s="9" t="s">
        <v>495</v>
      </c>
      <c r="L51" s="9"/>
      <c r="M51" s="9" t="s">
        <v>496</v>
      </c>
      <c r="N51" s="12" t="str">
        <f>HYPERLINK("https://www.google.com/maps/search/?api=1&amp;query=107-38 132nd Street, 107-34 132nd Street, Richmond Hill, NY 11419", "OPEN MAP")</f>
        <v>OPEN MAP</v>
      </c>
      <c r="O51" s="9" t="s">
        <v>497</v>
      </c>
      <c r="P51" s="9" t="s">
        <v>453</v>
      </c>
      <c r="Q51" s="9" t="s">
        <v>43</v>
      </c>
      <c r="R51" s="9">
        <v>11419</v>
      </c>
      <c r="S51" s="13" t="s">
        <v>498</v>
      </c>
      <c r="T51" s="14">
        <v>1197035.73</v>
      </c>
      <c r="U51" s="15">
        <v>45558</v>
      </c>
      <c r="V51" s="15"/>
      <c r="W51" s="14"/>
      <c r="X51" s="15"/>
      <c r="Y51" s="14"/>
      <c r="Z51" s="9"/>
      <c r="AA51" s="9" t="s">
        <v>91</v>
      </c>
      <c r="AB51" s="9" t="s">
        <v>92</v>
      </c>
      <c r="AC51" s="9"/>
      <c r="AD51" s="9" t="s">
        <v>499</v>
      </c>
      <c r="AE51" s="9"/>
    </row>
    <row r="52" spans="1:31" x14ac:dyDescent="0.2">
      <c r="A52" s="1" t="s">
        <v>31</v>
      </c>
      <c r="B52" s="1"/>
      <c r="C52" s="3">
        <v>45898</v>
      </c>
      <c r="D52" s="1" t="s">
        <v>49</v>
      </c>
      <c r="E52" s="1"/>
      <c r="F52" s="4" t="s">
        <v>500</v>
      </c>
      <c r="G52" s="1">
        <v>2023</v>
      </c>
      <c r="H52" s="1" t="s">
        <v>501</v>
      </c>
      <c r="I52" s="1" t="s">
        <v>502</v>
      </c>
      <c r="J52" s="1" t="s">
        <v>503</v>
      </c>
      <c r="K52" s="1" t="s">
        <v>503</v>
      </c>
      <c r="L52" s="1"/>
      <c r="M52" s="1" t="s">
        <v>504</v>
      </c>
      <c r="N52" s="5" t="str">
        <f>HYPERLINK("https://www.google.com/maps/search/?api=1&amp;query=71-40 MANSE STREET, FOREST HILLS, NY 11375", "OPEN MAP")</f>
        <v>OPEN MAP</v>
      </c>
      <c r="O52" s="1" t="s">
        <v>505</v>
      </c>
      <c r="P52" s="1" t="s">
        <v>506</v>
      </c>
      <c r="Q52" s="1" t="s">
        <v>43</v>
      </c>
      <c r="R52" s="1">
        <v>11375</v>
      </c>
      <c r="S52" s="6" t="s">
        <v>507</v>
      </c>
      <c r="T52" s="7"/>
      <c r="U52" s="8">
        <v>45775</v>
      </c>
      <c r="V52" s="8"/>
      <c r="W52" s="7"/>
      <c r="X52" s="8"/>
      <c r="Y52" s="7"/>
      <c r="Z52" s="1"/>
      <c r="AA52" s="1" t="s">
        <v>60</v>
      </c>
      <c r="AB52" s="1" t="s">
        <v>61</v>
      </c>
      <c r="AC52" s="1"/>
      <c r="AD52" s="1" t="s">
        <v>508</v>
      </c>
      <c r="AE52" s="1"/>
    </row>
    <row r="53" spans="1:31" x14ac:dyDescent="0.2">
      <c r="A53" s="9" t="s">
        <v>115</v>
      </c>
      <c r="B53" s="9"/>
      <c r="C53" s="10">
        <v>45898</v>
      </c>
      <c r="D53" s="9" t="s">
        <v>49</v>
      </c>
      <c r="E53" s="9"/>
      <c r="F53" s="11" t="s">
        <v>509</v>
      </c>
      <c r="G53" s="9">
        <v>2017</v>
      </c>
      <c r="H53" s="9" t="s">
        <v>510</v>
      </c>
      <c r="I53" s="9" t="s">
        <v>233</v>
      </c>
      <c r="J53" s="9" t="s">
        <v>511</v>
      </c>
      <c r="K53" s="9" t="s">
        <v>512</v>
      </c>
      <c r="L53" s="9"/>
      <c r="M53" s="9" t="s">
        <v>513</v>
      </c>
      <c r="N53" s="12" t="str">
        <f>HYPERLINK("https://www.google.com/maps/search/?api=1&amp;query=93-05 215TH PLACE QUEENS VILLAGE, NY 11428", "OPEN MAP")</f>
        <v>OPEN MAP</v>
      </c>
      <c r="O53" s="9" t="s">
        <v>514</v>
      </c>
      <c r="P53" s="9" t="s">
        <v>515</v>
      </c>
      <c r="Q53" s="9" t="s">
        <v>43</v>
      </c>
      <c r="R53" s="9">
        <v>11428</v>
      </c>
      <c r="S53" s="13" t="s">
        <v>516</v>
      </c>
      <c r="T53" s="14"/>
      <c r="U53" s="15"/>
      <c r="V53" s="15">
        <v>39136</v>
      </c>
      <c r="W53" s="14">
        <v>390000</v>
      </c>
      <c r="X53" s="15"/>
      <c r="Y53" s="14"/>
      <c r="Z53" s="9" t="s">
        <v>517</v>
      </c>
      <c r="AA53" s="9" t="s">
        <v>91</v>
      </c>
      <c r="AB53" s="9" t="s">
        <v>518</v>
      </c>
      <c r="AC53" s="9" t="s">
        <v>519</v>
      </c>
      <c r="AD53" s="9"/>
      <c r="AE53" s="9"/>
    </row>
    <row r="54" spans="1:31" x14ac:dyDescent="0.2">
      <c r="A54" s="1" t="s">
        <v>31</v>
      </c>
      <c r="B54" s="1"/>
      <c r="C54" s="3">
        <v>45898</v>
      </c>
      <c r="D54" s="1" t="s">
        <v>49</v>
      </c>
      <c r="E54" s="1"/>
      <c r="F54" s="4" t="s">
        <v>520</v>
      </c>
      <c r="G54" s="1">
        <v>2018</v>
      </c>
      <c r="H54" s="1" t="s">
        <v>521</v>
      </c>
      <c r="I54" s="1" t="s">
        <v>522</v>
      </c>
      <c r="J54" s="1" t="s">
        <v>523</v>
      </c>
      <c r="K54" s="1" t="s">
        <v>523</v>
      </c>
      <c r="L54" s="1"/>
      <c r="M54" s="1" t="s">
        <v>524</v>
      </c>
      <c r="N54" s="5" t="str">
        <f>HYPERLINK("https://www.google.com/maps/search/?api=1&amp;query=138-36 227th Street, Queens, NY 11413", "OPEN MAP")</f>
        <v>OPEN MAP</v>
      </c>
      <c r="O54" s="1" t="s">
        <v>525</v>
      </c>
      <c r="P54" s="1" t="s">
        <v>115</v>
      </c>
      <c r="Q54" s="1" t="s">
        <v>43</v>
      </c>
      <c r="R54" s="1">
        <v>11413</v>
      </c>
      <c r="S54" s="6" t="s">
        <v>526</v>
      </c>
      <c r="T54" s="7">
        <v>557725.55000000005</v>
      </c>
      <c r="U54" s="8">
        <v>44755</v>
      </c>
      <c r="V54" s="8"/>
      <c r="W54" s="7"/>
      <c r="X54" s="8"/>
      <c r="Y54" s="7"/>
      <c r="Z54" s="1"/>
      <c r="AA54" s="1" t="s">
        <v>527</v>
      </c>
      <c r="AB54" s="1" t="s">
        <v>528</v>
      </c>
      <c r="AC54" s="1"/>
      <c r="AD54" s="1" t="s">
        <v>529</v>
      </c>
      <c r="AE54" s="1"/>
    </row>
    <row r="55" spans="1:31" x14ac:dyDescent="0.2">
      <c r="A55" s="9" t="s">
        <v>31</v>
      </c>
      <c r="B55" s="9"/>
      <c r="C55" s="10">
        <v>45898</v>
      </c>
      <c r="D55" s="9" t="s">
        <v>49</v>
      </c>
      <c r="E55" s="9" t="s">
        <v>33</v>
      </c>
      <c r="F55" s="11" t="s">
        <v>530</v>
      </c>
      <c r="G55" s="9">
        <v>2017</v>
      </c>
      <c r="H55" s="9" t="s">
        <v>531</v>
      </c>
      <c r="I55" s="9" t="s">
        <v>532</v>
      </c>
      <c r="J55" s="9" t="s">
        <v>533</v>
      </c>
      <c r="K55" s="9" t="s">
        <v>534</v>
      </c>
      <c r="L55" s="9" t="s">
        <v>535</v>
      </c>
      <c r="M55" s="9" t="s">
        <v>536</v>
      </c>
      <c r="N55" s="12" t="str">
        <f>HYPERLINK("https://www.google.com/maps/search/?api=1&amp;query=120-23 233RD STREET, CAMBRIA HEIGHTS, NY 11411", "OPEN MAP")</f>
        <v>OPEN MAP</v>
      </c>
      <c r="O55" s="9" t="s">
        <v>537</v>
      </c>
      <c r="P55" s="9" t="s">
        <v>375</v>
      </c>
      <c r="Q55" s="9" t="s">
        <v>43</v>
      </c>
      <c r="R55" s="9">
        <v>11411</v>
      </c>
      <c r="S55" s="13" t="s">
        <v>538</v>
      </c>
      <c r="T55" s="14">
        <v>434576.55</v>
      </c>
      <c r="U55" s="15">
        <v>45210</v>
      </c>
      <c r="V55" s="15"/>
      <c r="W55" s="14"/>
      <c r="X55" s="15"/>
      <c r="Y55" s="14"/>
      <c r="Z55" s="9" t="s">
        <v>539</v>
      </c>
      <c r="AA55" s="9" t="s">
        <v>540</v>
      </c>
      <c r="AB55" s="9" t="s">
        <v>541</v>
      </c>
      <c r="AC55" s="9" t="s">
        <v>542</v>
      </c>
      <c r="AD55" s="9" t="s">
        <v>93</v>
      </c>
      <c r="AE55" s="9"/>
    </row>
    <row r="56" spans="1:31" x14ac:dyDescent="0.2">
      <c r="A56" s="1" t="s">
        <v>31</v>
      </c>
      <c r="B56" s="1"/>
      <c r="C56" s="3">
        <v>45898</v>
      </c>
      <c r="D56" s="1" t="s">
        <v>49</v>
      </c>
      <c r="E56" s="1" t="s">
        <v>33</v>
      </c>
      <c r="F56" s="4" t="s">
        <v>543</v>
      </c>
      <c r="G56" s="1">
        <v>2019</v>
      </c>
      <c r="H56" s="1" t="s">
        <v>544</v>
      </c>
      <c r="I56" s="1" t="s">
        <v>545</v>
      </c>
      <c r="J56" s="1" t="s">
        <v>546</v>
      </c>
      <c r="K56" s="1" t="s">
        <v>547</v>
      </c>
      <c r="L56" s="1" t="s">
        <v>548</v>
      </c>
      <c r="M56" s="1" t="s">
        <v>549</v>
      </c>
      <c r="N56" s="5" t="str">
        <f>HYPERLINK("https://www.google.com/maps/search/?api=1&amp;query=231-29 125TH AVENUE, LAURELTON, NY 11413", "OPEN MAP")</f>
        <v>OPEN MAP</v>
      </c>
      <c r="O56" s="1" t="s">
        <v>550</v>
      </c>
      <c r="P56" s="1" t="s">
        <v>189</v>
      </c>
      <c r="Q56" s="1" t="s">
        <v>43</v>
      </c>
      <c r="R56" s="1">
        <v>11413</v>
      </c>
      <c r="S56" s="6" t="s">
        <v>551</v>
      </c>
      <c r="T56" s="7"/>
      <c r="U56" s="8">
        <v>45762</v>
      </c>
      <c r="V56" s="8"/>
      <c r="W56" s="7"/>
      <c r="X56" s="8"/>
      <c r="Y56" s="7"/>
      <c r="Z56" s="1"/>
      <c r="AA56" s="1" t="s">
        <v>60</v>
      </c>
      <c r="AB56" s="1" t="s">
        <v>61</v>
      </c>
      <c r="AC56" s="1"/>
      <c r="AD56" s="1" t="s">
        <v>508</v>
      </c>
      <c r="AE56" s="1"/>
    </row>
    <row r="57" spans="1:31" x14ac:dyDescent="0.2">
      <c r="A57" s="9" t="s">
        <v>31</v>
      </c>
      <c r="B57" s="9"/>
      <c r="C57" s="10">
        <v>45898</v>
      </c>
      <c r="D57" s="9" t="s">
        <v>49</v>
      </c>
      <c r="E57" s="9"/>
      <c r="F57" s="11" t="s">
        <v>552</v>
      </c>
      <c r="G57" s="9">
        <v>2018</v>
      </c>
      <c r="H57" s="9" t="s">
        <v>553</v>
      </c>
      <c r="I57" s="9" t="s">
        <v>554</v>
      </c>
      <c r="J57" s="9" t="s">
        <v>555</v>
      </c>
      <c r="K57" s="9" t="s">
        <v>556</v>
      </c>
      <c r="L57" s="9"/>
      <c r="M57" s="9" t="s">
        <v>557</v>
      </c>
      <c r="N57" s="12" t="str">
        <f>HYPERLINK("https://www.google.com/maps/search/?api=1&amp;query=27-33 Curtis Street, East Elmhurst, NY 11369", "OPEN MAP")</f>
        <v>OPEN MAP</v>
      </c>
      <c r="O57" s="9" t="s">
        <v>558</v>
      </c>
      <c r="P57" s="9" t="s">
        <v>559</v>
      </c>
      <c r="Q57" s="9" t="s">
        <v>43</v>
      </c>
      <c r="R57" s="9">
        <v>11369</v>
      </c>
      <c r="S57" s="13" t="s">
        <v>560</v>
      </c>
      <c r="T57" s="14">
        <v>615057.92000000004</v>
      </c>
      <c r="U57" s="15">
        <v>44615</v>
      </c>
      <c r="V57" s="15"/>
      <c r="W57" s="14"/>
      <c r="X57" s="15"/>
      <c r="Y57" s="14"/>
      <c r="Z57" s="9"/>
      <c r="AA57" s="9" t="s">
        <v>45</v>
      </c>
      <c r="AB57" s="9" t="s">
        <v>46</v>
      </c>
      <c r="AC57" s="9" t="s">
        <v>47</v>
      </c>
      <c r="AD57" s="9" t="s">
        <v>561</v>
      </c>
      <c r="AE57" s="9"/>
    </row>
    <row r="58" spans="1:31" x14ac:dyDescent="0.2">
      <c r="A58" s="1" t="s">
        <v>31</v>
      </c>
      <c r="B58" s="1"/>
      <c r="C58" s="3">
        <v>45898</v>
      </c>
      <c r="D58" s="1" t="s">
        <v>49</v>
      </c>
      <c r="E58" s="1"/>
      <c r="F58" s="4" t="s">
        <v>562</v>
      </c>
      <c r="G58" s="1">
        <v>2016</v>
      </c>
      <c r="H58" s="1" t="s">
        <v>563</v>
      </c>
      <c r="I58" s="1" t="s">
        <v>564</v>
      </c>
      <c r="J58" s="1" t="s">
        <v>565</v>
      </c>
      <c r="K58" s="1" t="s">
        <v>565</v>
      </c>
      <c r="L58" s="1"/>
      <c r="M58" s="1" t="s">
        <v>566</v>
      </c>
      <c r="N58" s="5" t="str">
        <f>HYPERLINK("https://www.google.com/maps/search/?api=1&amp;query=16-63 HANCOCK STREET, FLUSHING, NY 11385", "OPEN MAP")</f>
        <v>OPEN MAP</v>
      </c>
      <c r="O58" s="1" t="s">
        <v>567</v>
      </c>
      <c r="P58" s="1" t="s">
        <v>568</v>
      </c>
      <c r="Q58" s="1" t="s">
        <v>43</v>
      </c>
      <c r="R58" s="1">
        <v>11385</v>
      </c>
      <c r="S58" s="6"/>
      <c r="T58" s="7"/>
      <c r="U58" s="8">
        <v>42369</v>
      </c>
      <c r="V58" s="8">
        <v>39171</v>
      </c>
      <c r="W58" s="7"/>
      <c r="X58" s="8"/>
      <c r="Y58" s="7"/>
      <c r="Z58" s="1" t="s">
        <v>569</v>
      </c>
      <c r="AA58" s="1" t="s">
        <v>570</v>
      </c>
      <c r="AB58" s="1" t="s">
        <v>571</v>
      </c>
      <c r="AC58" s="1" t="s">
        <v>572</v>
      </c>
      <c r="AD58" s="1"/>
      <c r="AE58" s="1"/>
    </row>
    <row r="59" spans="1:31" x14ac:dyDescent="0.2">
      <c r="A59" s="9" t="s">
        <v>31</v>
      </c>
      <c r="B59" s="9"/>
      <c r="C59" s="10">
        <v>45898</v>
      </c>
      <c r="D59" s="9" t="s">
        <v>49</v>
      </c>
      <c r="E59" s="9"/>
      <c r="F59" s="11" t="s">
        <v>573</v>
      </c>
      <c r="G59" s="9">
        <v>2011</v>
      </c>
      <c r="H59" s="9" t="s">
        <v>574</v>
      </c>
      <c r="I59" s="9" t="s">
        <v>203</v>
      </c>
      <c r="J59" s="9" t="s">
        <v>575</v>
      </c>
      <c r="K59" s="9" t="s">
        <v>575</v>
      </c>
      <c r="L59" s="9"/>
      <c r="M59" s="9" t="s">
        <v>576</v>
      </c>
      <c r="N59" s="12" t="str">
        <f>HYPERLINK("https://www.google.com/maps/search/?api=1&amp;query=63-12 110th Street, Forest Hills, New York 11375", "OPEN MAP")</f>
        <v>OPEN MAP</v>
      </c>
      <c r="O59" s="9" t="s">
        <v>577</v>
      </c>
      <c r="P59" s="9" t="s">
        <v>578</v>
      </c>
      <c r="Q59" s="9" t="s">
        <v>251</v>
      </c>
      <c r="R59" s="9">
        <v>11375</v>
      </c>
      <c r="S59" s="13" t="s">
        <v>579</v>
      </c>
      <c r="T59" s="14"/>
      <c r="U59" s="15"/>
      <c r="V59" s="15">
        <v>38868</v>
      </c>
      <c r="W59" s="14">
        <v>612500</v>
      </c>
      <c r="X59" s="15"/>
      <c r="Y59" s="14"/>
      <c r="Z59" s="9" t="s">
        <v>580</v>
      </c>
      <c r="AA59" s="9" t="s">
        <v>581</v>
      </c>
      <c r="AB59" s="9" t="s">
        <v>582</v>
      </c>
      <c r="AC59" s="9" t="s">
        <v>583</v>
      </c>
      <c r="AD59" s="9"/>
      <c r="AE59" s="9"/>
    </row>
    <row r="60" spans="1:31" x14ac:dyDescent="0.2">
      <c r="A60" s="1" t="s">
        <v>31</v>
      </c>
      <c r="B60" s="1"/>
      <c r="C60" s="3">
        <v>45898</v>
      </c>
      <c r="D60" s="1" t="s">
        <v>49</v>
      </c>
      <c r="E60" s="1"/>
      <c r="F60" s="4" t="s">
        <v>584</v>
      </c>
      <c r="G60" s="1">
        <v>2019</v>
      </c>
      <c r="H60" s="1" t="s">
        <v>585</v>
      </c>
      <c r="I60" s="1" t="s">
        <v>586</v>
      </c>
      <c r="J60" s="1" t="s">
        <v>587</v>
      </c>
      <c r="K60" s="1" t="s">
        <v>588</v>
      </c>
      <c r="L60" s="1" t="s">
        <v>589</v>
      </c>
      <c r="M60" s="1" t="s">
        <v>590</v>
      </c>
      <c r="N60" s="5" t="str">
        <f>HYPERLINK("https://www.google.com/maps/search/?api=1&amp;query=110-34 166th Street, Jamaica, NY 11433", "OPEN MAP")</f>
        <v>OPEN MAP</v>
      </c>
      <c r="O60" s="1" t="s">
        <v>591</v>
      </c>
      <c r="P60" s="1" t="s">
        <v>42</v>
      </c>
      <c r="Q60" s="1" t="s">
        <v>43</v>
      </c>
      <c r="R60" s="1">
        <v>11433</v>
      </c>
      <c r="S60" s="6" t="s">
        <v>592</v>
      </c>
      <c r="T60" s="7">
        <v>586566.86</v>
      </c>
      <c r="U60" s="8">
        <v>45048</v>
      </c>
      <c r="V60" s="8"/>
      <c r="W60" s="7"/>
      <c r="X60" s="8"/>
      <c r="Y60" s="7"/>
      <c r="Z60" s="1"/>
      <c r="AA60" s="1" t="s">
        <v>91</v>
      </c>
      <c r="AB60" s="1" t="s">
        <v>92</v>
      </c>
      <c r="AC60" s="1"/>
      <c r="AD60" s="1" t="s">
        <v>593</v>
      </c>
      <c r="AE60" s="1"/>
    </row>
    <row r="61" spans="1:31" x14ac:dyDescent="0.2">
      <c r="A61" s="9" t="s">
        <v>31</v>
      </c>
      <c r="B61" s="9"/>
      <c r="C61" s="10">
        <v>45898</v>
      </c>
      <c r="D61" s="9" t="s">
        <v>49</v>
      </c>
      <c r="E61" s="9" t="s">
        <v>33</v>
      </c>
      <c r="F61" s="11" t="s">
        <v>594</v>
      </c>
      <c r="G61" s="9">
        <v>2016</v>
      </c>
      <c r="H61" s="9" t="s">
        <v>595</v>
      </c>
      <c r="I61" s="9" t="s">
        <v>596</v>
      </c>
      <c r="J61" s="9" t="s">
        <v>597</v>
      </c>
      <c r="K61" s="9" t="s">
        <v>597</v>
      </c>
      <c r="L61" s="9"/>
      <c r="M61" s="9" t="s">
        <v>598</v>
      </c>
      <c r="N61" s="12" t="str">
        <f>HYPERLINK("https://www.google.com/maps/search/?api=1&amp;query=109-24 190th Place, Saint Albans, NY 11412", "OPEN MAP")</f>
        <v>OPEN MAP</v>
      </c>
      <c r="O61" s="9" t="s">
        <v>599</v>
      </c>
      <c r="P61" s="9" t="s">
        <v>357</v>
      </c>
      <c r="Q61" s="9" t="s">
        <v>43</v>
      </c>
      <c r="R61" s="9">
        <v>11412</v>
      </c>
      <c r="S61" s="13" t="s">
        <v>600</v>
      </c>
      <c r="T61" s="14">
        <v>792066.79</v>
      </c>
      <c r="U61" s="15">
        <v>44608</v>
      </c>
      <c r="V61" s="15"/>
      <c r="W61" s="14"/>
      <c r="X61" s="15"/>
      <c r="Y61" s="14"/>
      <c r="Z61" s="9"/>
      <c r="AA61" s="9" t="s">
        <v>426</v>
      </c>
      <c r="AB61" s="9" t="s">
        <v>601</v>
      </c>
      <c r="AC61" s="9"/>
      <c r="AD61" s="9" t="s">
        <v>508</v>
      </c>
      <c r="AE61" s="9"/>
    </row>
    <row r="62" spans="1:31" x14ac:dyDescent="0.2">
      <c r="A62" s="1" t="s">
        <v>115</v>
      </c>
      <c r="B62" s="1"/>
      <c r="C62" s="3">
        <v>45898</v>
      </c>
      <c r="D62" s="1" t="s">
        <v>49</v>
      </c>
      <c r="E62" s="1"/>
      <c r="F62" s="4" t="s">
        <v>602</v>
      </c>
      <c r="G62" s="1">
        <v>2013</v>
      </c>
      <c r="H62" s="1" t="s">
        <v>603</v>
      </c>
      <c r="I62" s="1" t="s">
        <v>194</v>
      </c>
      <c r="J62" s="1" t="s">
        <v>604</v>
      </c>
      <c r="K62" s="1" t="s">
        <v>604</v>
      </c>
      <c r="L62" s="1"/>
      <c r="M62" s="1" t="s">
        <v>605</v>
      </c>
      <c r="N62" s="5" t="str">
        <f>HYPERLINK("https://www.google.com/maps/search/?api=1&amp;query=169-19 104th Ave, Jamaica, NY 11433", "OPEN MAP")</f>
        <v>OPEN MAP</v>
      </c>
      <c r="O62" s="1" t="s">
        <v>606</v>
      </c>
      <c r="P62" s="1" t="s">
        <v>42</v>
      </c>
      <c r="Q62" s="1" t="s">
        <v>43</v>
      </c>
      <c r="R62" s="1">
        <v>11433</v>
      </c>
      <c r="S62" s="6" t="s">
        <v>607</v>
      </c>
      <c r="T62" s="7">
        <v>484481.23</v>
      </c>
      <c r="U62" s="8">
        <v>42782</v>
      </c>
      <c r="V62" s="8"/>
      <c r="W62" s="7"/>
      <c r="X62" s="8"/>
      <c r="Y62" s="7"/>
      <c r="Z62" s="1"/>
      <c r="AA62" s="1" t="s">
        <v>126</v>
      </c>
      <c r="AB62" s="1" t="s">
        <v>199</v>
      </c>
      <c r="AC62" s="1" t="s">
        <v>128</v>
      </c>
      <c r="AD62" s="1" t="s">
        <v>608</v>
      </c>
      <c r="AE62" s="1"/>
    </row>
    <row r="63" spans="1:31" x14ac:dyDescent="0.2">
      <c r="A63" s="9" t="s">
        <v>31</v>
      </c>
      <c r="B63" s="9"/>
      <c r="C63" s="10">
        <v>45898</v>
      </c>
      <c r="D63" s="9" t="s">
        <v>49</v>
      </c>
      <c r="E63" s="9"/>
      <c r="F63" s="11" t="s">
        <v>609</v>
      </c>
      <c r="G63" s="9">
        <v>2023</v>
      </c>
      <c r="H63" s="9" t="s">
        <v>610</v>
      </c>
      <c r="I63" s="9" t="s">
        <v>611</v>
      </c>
      <c r="J63" s="9" t="s">
        <v>612</v>
      </c>
      <c r="K63" s="9" t="s">
        <v>613</v>
      </c>
      <c r="L63" s="9" t="s">
        <v>614</v>
      </c>
      <c r="M63" s="9" t="s">
        <v>615</v>
      </c>
      <c r="N63" s="12" t="str">
        <f>HYPERLINK("https://www.google.com/maps/search/?api=1&amp;query=101-16 159th Avenue, Howard Beach, NY 11414", "OPEN MAP")</f>
        <v>OPEN MAP</v>
      </c>
      <c r="O63" s="9" t="s">
        <v>616</v>
      </c>
      <c r="P63" s="9" t="s">
        <v>617</v>
      </c>
      <c r="Q63" s="9" t="s">
        <v>43</v>
      </c>
      <c r="R63" s="9">
        <v>11414</v>
      </c>
      <c r="S63" s="13" t="s">
        <v>618</v>
      </c>
      <c r="T63" s="14"/>
      <c r="U63" s="15"/>
      <c r="V63" s="15">
        <v>39030</v>
      </c>
      <c r="W63" s="14">
        <v>576000</v>
      </c>
      <c r="X63" s="15"/>
      <c r="Y63" s="14"/>
      <c r="Z63" s="9" t="s">
        <v>619</v>
      </c>
      <c r="AA63" s="9" t="s">
        <v>91</v>
      </c>
      <c r="AB63" s="9" t="s">
        <v>518</v>
      </c>
      <c r="AC63" s="9" t="s">
        <v>519</v>
      </c>
      <c r="AD63" s="9"/>
      <c r="AE63" s="9"/>
    </row>
    <row r="64" spans="1:31" x14ac:dyDescent="0.2">
      <c r="A64" s="1" t="s">
        <v>115</v>
      </c>
      <c r="B64" s="1"/>
      <c r="C64" s="3">
        <v>45898</v>
      </c>
      <c r="D64" s="1" t="s">
        <v>49</v>
      </c>
      <c r="E64" s="1" t="s">
        <v>33</v>
      </c>
      <c r="F64" s="4" t="s">
        <v>620</v>
      </c>
      <c r="G64" s="1">
        <v>2021</v>
      </c>
      <c r="H64" s="1" t="s">
        <v>621</v>
      </c>
      <c r="I64" s="1" t="s">
        <v>622</v>
      </c>
      <c r="J64" s="1" t="s">
        <v>623</v>
      </c>
      <c r="K64" s="1" t="s">
        <v>623</v>
      </c>
      <c r="L64" s="1" t="s">
        <v>624</v>
      </c>
      <c r="M64" s="1" t="s">
        <v>625</v>
      </c>
      <c r="N64" s="5" t="str">
        <f>HYPERLINK("https://www.google.com/maps/search/?api=1&amp;query=195-10 Sagamore Ave, Hollis, NY 11423", "OPEN MAP")</f>
        <v>OPEN MAP</v>
      </c>
      <c r="O64" s="1" t="s">
        <v>626</v>
      </c>
      <c r="P64" s="1" t="s">
        <v>627</v>
      </c>
      <c r="Q64" s="1" t="s">
        <v>43</v>
      </c>
      <c r="R64" s="1">
        <v>11423</v>
      </c>
      <c r="S64" s="6" t="s">
        <v>628</v>
      </c>
      <c r="T64" s="7">
        <v>316000</v>
      </c>
      <c r="U64" s="8"/>
      <c r="V64" s="8">
        <v>39602</v>
      </c>
      <c r="W64" s="7">
        <v>316000</v>
      </c>
      <c r="X64" s="8"/>
      <c r="Y64" s="7"/>
      <c r="Z64" s="1" t="s">
        <v>629</v>
      </c>
      <c r="AA64" s="1" t="s">
        <v>630</v>
      </c>
      <c r="AB64" s="1" t="s">
        <v>309</v>
      </c>
      <c r="AC64" s="1" t="s">
        <v>154</v>
      </c>
      <c r="AD64" s="1"/>
      <c r="AE64" s="1"/>
    </row>
    <row r="65" spans="1:31" x14ac:dyDescent="0.2">
      <c r="A65" s="9" t="s">
        <v>31</v>
      </c>
      <c r="B65" s="9"/>
      <c r="C65" s="10">
        <v>45898</v>
      </c>
      <c r="D65" s="9" t="s">
        <v>49</v>
      </c>
      <c r="E65" s="9"/>
      <c r="F65" s="11" t="s">
        <v>631</v>
      </c>
      <c r="G65" s="9">
        <v>2015</v>
      </c>
      <c r="H65" s="9" t="s">
        <v>632</v>
      </c>
      <c r="I65" s="9" t="s">
        <v>132</v>
      </c>
      <c r="J65" s="9" t="s">
        <v>633</v>
      </c>
      <c r="K65" s="9" t="s">
        <v>634</v>
      </c>
      <c r="L65" s="9" t="s">
        <v>635</v>
      </c>
      <c r="M65" s="9" t="s">
        <v>636</v>
      </c>
      <c r="N65" s="12" t="str">
        <f>HYPERLINK("https://www.google.com/maps/search/?api=1&amp;query=1118 Bay 24th Street, Far Rockaway, NY 11691-1752", "OPEN MAP")</f>
        <v>OPEN MAP</v>
      </c>
      <c r="O65" s="9" t="s">
        <v>637</v>
      </c>
      <c r="P65" s="9" t="s">
        <v>138</v>
      </c>
      <c r="Q65" s="9" t="s">
        <v>43</v>
      </c>
      <c r="R65" s="9" t="s">
        <v>638</v>
      </c>
      <c r="S65" s="13" t="s">
        <v>639</v>
      </c>
      <c r="T65" s="14">
        <v>754392.1</v>
      </c>
      <c r="U65" s="15">
        <v>43760</v>
      </c>
      <c r="V65" s="15"/>
      <c r="W65" s="14"/>
      <c r="X65" s="15"/>
      <c r="Y65" s="14"/>
      <c r="Z65" s="9"/>
      <c r="AA65" s="9" t="s">
        <v>45</v>
      </c>
      <c r="AB65" s="9" t="s">
        <v>46</v>
      </c>
      <c r="AC65" s="9" t="s">
        <v>47</v>
      </c>
      <c r="AD65" s="9" t="s">
        <v>640</v>
      </c>
      <c r="AE65" s="9"/>
    </row>
    <row r="66" spans="1:31" x14ac:dyDescent="0.2">
      <c r="A66" s="1" t="s">
        <v>31</v>
      </c>
      <c r="B66" s="1"/>
      <c r="C66" s="3">
        <v>45905</v>
      </c>
      <c r="D66" s="1" t="s">
        <v>32</v>
      </c>
      <c r="E66" s="1"/>
      <c r="F66" s="4" t="s">
        <v>641</v>
      </c>
      <c r="G66" s="1">
        <v>2019</v>
      </c>
      <c r="H66" s="1" t="s">
        <v>642</v>
      </c>
      <c r="I66" s="1" t="s">
        <v>233</v>
      </c>
      <c r="J66" s="1" t="s">
        <v>643</v>
      </c>
      <c r="K66" s="1" t="s">
        <v>643</v>
      </c>
      <c r="L66" s="1"/>
      <c r="M66" s="1" t="s">
        <v>644</v>
      </c>
      <c r="N66" s="5" t="str">
        <f>HYPERLINK("https://www.google.com/maps/search/?api=1&amp;query=115-47 223rd Street, Jamaica, NY 11411", "OPEN MAP")</f>
        <v>OPEN MAP</v>
      </c>
      <c r="O66" s="1" t="s">
        <v>645</v>
      </c>
      <c r="P66" s="1" t="s">
        <v>42</v>
      </c>
      <c r="Q66" s="1" t="s">
        <v>43</v>
      </c>
      <c r="R66" s="1">
        <v>11411</v>
      </c>
      <c r="S66" s="6" t="s">
        <v>646</v>
      </c>
      <c r="T66" s="7">
        <v>655336.6</v>
      </c>
      <c r="U66" s="8">
        <v>45629</v>
      </c>
      <c r="V66" s="8"/>
      <c r="W66" s="7"/>
      <c r="X66" s="8"/>
      <c r="Y66" s="7"/>
      <c r="Z66" s="1"/>
      <c r="AA66" s="1" t="s">
        <v>91</v>
      </c>
      <c r="AB66" s="1" t="s">
        <v>92</v>
      </c>
      <c r="AC66" s="1"/>
      <c r="AD66" s="1" t="s">
        <v>647</v>
      </c>
      <c r="AE66" s="1"/>
    </row>
    <row r="67" spans="1:31" x14ac:dyDescent="0.2">
      <c r="A67" s="9" t="s">
        <v>31</v>
      </c>
      <c r="B67" s="9"/>
      <c r="C67" s="10">
        <v>45905</v>
      </c>
      <c r="D67" s="9" t="s">
        <v>49</v>
      </c>
      <c r="E67" s="9"/>
      <c r="F67" s="11" t="s">
        <v>648</v>
      </c>
      <c r="G67" s="9">
        <v>2021</v>
      </c>
      <c r="H67" s="9" t="s">
        <v>649</v>
      </c>
      <c r="I67" s="9" t="s">
        <v>650</v>
      </c>
      <c r="J67" s="9" t="s">
        <v>651</v>
      </c>
      <c r="K67" s="9" t="s">
        <v>652</v>
      </c>
      <c r="L67" s="9" t="s">
        <v>653</v>
      </c>
      <c r="M67" s="9" t="s">
        <v>654</v>
      </c>
      <c r="N67" s="12" t="str">
        <f>HYPERLINK("https://www.google.com/maps/search/?api=1&amp;query=226-59 76th Road, Bayside, NY 11364", "OPEN MAP")</f>
        <v>OPEN MAP</v>
      </c>
      <c r="O67" s="9" t="s">
        <v>655</v>
      </c>
      <c r="P67" s="9" t="s">
        <v>656</v>
      </c>
      <c r="Q67" s="9" t="s">
        <v>43</v>
      </c>
      <c r="R67" s="9">
        <v>11364</v>
      </c>
      <c r="S67" s="13" t="s">
        <v>657</v>
      </c>
      <c r="T67" s="14"/>
      <c r="U67" s="15"/>
      <c r="V67" s="15">
        <v>43069</v>
      </c>
      <c r="W67" s="14">
        <v>550000</v>
      </c>
      <c r="X67" s="15"/>
      <c r="Y67" s="14"/>
      <c r="Z67" s="9" t="s">
        <v>658</v>
      </c>
      <c r="AA67" s="9" t="s">
        <v>659</v>
      </c>
      <c r="AB67" s="9" t="s">
        <v>660</v>
      </c>
      <c r="AC67" s="9" t="s">
        <v>661</v>
      </c>
      <c r="AD67" s="9"/>
      <c r="AE67" s="9"/>
    </row>
    <row r="68" spans="1:31" x14ac:dyDescent="0.2">
      <c r="A68" s="1" t="s">
        <v>31</v>
      </c>
      <c r="B68" s="1"/>
      <c r="C68" s="3">
        <v>45905</v>
      </c>
      <c r="D68" s="1" t="s">
        <v>49</v>
      </c>
      <c r="E68" s="1"/>
      <c r="F68" s="4" t="s">
        <v>662</v>
      </c>
      <c r="G68" s="1">
        <v>2017</v>
      </c>
      <c r="H68" s="1" t="s">
        <v>663</v>
      </c>
      <c r="I68" s="1" t="s">
        <v>664</v>
      </c>
      <c r="J68" s="1" t="s">
        <v>665</v>
      </c>
      <c r="K68" s="1" t="s">
        <v>665</v>
      </c>
      <c r="L68" s="1"/>
      <c r="M68" s="1" t="s">
        <v>666</v>
      </c>
      <c r="N68" s="5" t="str">
        <f>HYPERLINK("https://www.google.com/maps/search/?api=1&amp;query=149-47 124TH STREET, SOUTH OZONE PARK, NY 11420", "OPEN MAP")</f>
        <v>OPEN MAP</v>
      </c>
      <c r="O68" s="1" t="s">
        <v>667</v>
      </c>
      <c r="P68" s="1" t="s">
        <v>207</v>
      </c>
      <c r="Q68" s="1" t="s">
        <v>43</v>
      </c>
      <c r="R68" s="1">
        <v>11420</v>
      </c>
      <c r="S68" s="6" t="s">
        <v>668</v>
      </c>
      <c r="T68" s="7"/>
      <c r="U68" s="8">
        <v>43703</v>
      </c>
      <c r="V68" s="8"/>
      <c r="W68" s="7"/>
      <c r="X68" s="8"/>
      <c r="Y68" s="7"/>
      <c r="Z68" s="1"/>
      <c r="AA68" s="1" t="s">
        <v>60</v>
      </c>
      <c r="AB68" s="1" t="s">
        <v>61</v>
      </c>
      <c r="AC68" s="1"/>
      <c r="AD68" s="1" t="s">
        <v>669</v>
      </c>
      <c r="AE68" s="1"/>
    </row>
    <row r="69" spans="1:31" x14ac:dyDescent="0.2">
      <c r="A69" s="9" t="s">
        <v>115</v>
      </c>
      <c r="B69" s="9"/>
      <c r="C69" s="10">
        <v>45905</v>
      </c>
      <c r="D69" s="9" t="s">
        <v>32</v>
      </c>
      <c r="E69" s="9"/>
      <c r="F69" s="11" t="s">
        <v>670</v>
      </c>
      <c r="G69" s="9">
        <v>2015</v>
      </c>
      <c r="H69" s="9" t="s">
        <v>671</v>
      </c>
      <c r="I69" s="9" t="s">
        <v>672</v>
      </c>
      <c r="J69" s="9" t="s">
        <v>673</v>
      </c>
      <c r="K69" s="9" t="s">
        <v>674</v>
      </c>
      <c r="L69" s="9" t="s">
        <v>675</v>
      </c>
      <c r="M69" s="9" t="s">
        <v>676</v>
      </c>
      <c r="N69" s="12" t="str">
        <f>HYPERLINK("https://www.google.com/maps/search/?api=1&amp;query=205-09 114 Drive, St Albans, NY 11412", "OPEN MAP")</f>
        <v>OPEN MAP</v>
      </c>
      <c r="O69" s="9" t="s">
        <v>677</v>
      </c>
      <c r="P69" s="9" t="s">
        <v>678</v>
      </c>
      <c r="Q69" s="9" t="s">
        <v>43</v>
      </c>
      <c r="R69" s="9">
        <v>11412</v>
      </c>
      <c r="S69" s="13" t="s">
        <v>679</v>
      </c>
      <c r="T69" s="14">
        <v>124640.03</v>
      </c>
      <c r="U69" s="15">
        <v>44656</v>
      </c>
      <c r="V69" s="15"/>
      <c r="W69" s="14"/>
      <c r="X69" s="15"/>
      <c r="Y69" s="14"/>
      <c r="Z69" s="9"/>
      <c r="AA69" s="9" t="s">
        <v>126</v>
      </c>
      <c r="AB69" s="9" t="s">
        <v>199</v>
      </c>
      <c r="AC69" s="9" t="s">
        <v>128</v>
      </c>
      <c r="AD69" s="9" t="s">
        <v>680</v>
      </c>
      <c r="AE69" s="9"/>
    </row>
    <row r="70" spans="1:31" x14ac:dyDescent="0.2">
      <c r="A70" s="1" t="s">
        <v>31</v>
      </c>
      <c r="B70" s="1"/>
      <c r="C70" s="3">
        <v>45905</v>
      </c>
      <c r="D70" s="1" t="s">
        <v>49</v>
      </c>
      <c r="E70" s="1"/>
      <c r="F70" s="4" t="s">
        <v>681</v>
      </c>
      <c r="G70" s="1">
        <v>2023</v>
      </c>
      <c r="H70" s="1" t="s">
        <v>682</v>
      </c>
      <c r="I70" s="1" t="s">
        <v>683</v>
      </c>
      <c r="J70" s="1" t="s">
        <v>684</v>
      </c>
      <c r="K70" s="1" t="s">
        <v>684</v>
      </c>
      <c r="L70" s="1"/>
      <c r="M70" s="1" t="s">
        <v>685</v>
      </c>
      <c r="N70" s="5" t="str">
        <f>HYPERLINK("https://www.google.com/maps/search/?api=1&amp;query=122-48 Benton Street, Springfield Gardens, NY 11413", "OPEN MAP")</f>
        <v>OPEN MAP</v>
      </c>
      <c r="O70" s="1" t="s">
        <v>686</v>
      </c>
      <c r="P70" s="1" t="s">
        <v>89</v>
      </c>
      <c r="Q70" s="1" t="s">
        <v>43</v>
      </c>
      <c r="R70" s="1">
        <v>11413</v>
      </c>
      <c r="S70" s="6" t="s">
        <v>687</v>
      </c>
      <c r="T70" s="7">
        <v>458492.24</v>
      </c>
      <c r="U70" s="8">
        <v>45813</v>
      </c>
      <c r="V70" s="8"/>
      <c r="W70" s="7"/>
      <c r="X70" s="8"/>
      <c r="Y70" s="7"/>
      <c r="Z70" s="1"/>
      <c r="AA70" s="1" t="s">
        <v>482</v>
      </c>
      <c r="AB70" s="1" t="s">
        <v>688</v>
      </c>
      <c r="AC70" s="1"/>
      <c r="AD70" s="1" t="s">
        <v>689</v>
      </c>
      <c r="AE70" s="1"/>
    </row>
    <row r="71" spans="1:31" x14ac:dyDescent="0.2">
      <c r="A71" s="9" t="s">
        <v>31</v>
      </c>
      <c r="B71" s="9"/>
      <c r="C71" s="10">
        <v>45905</v>
      </c>
      <c r="D71" s="9" t="s">
        <v>49</v>
      </c>
      <c r="E71" s="9"/>
      <c r="F71" s="11" t="s">
        <v>690</v>
      </c>
      <c r="G71" s="9">
        <v>2013</v>
      </c>
      <c r="H71" s="9" t="s">
        <v>691</v>
      </c>
      <c r="I71" s="9" t="s">
        <v>194</v>
      </c>
      <c r="J71" s="9" t="s">
        <v>692</v>
      </c>
      <c r="K71" s="9" t="s">
        <v>693</v>
      </c>
      <c r="L71" s="9"/>
      <c r="M71" s="9" t="s">
        <v>694</v>
      </c>
      <c r="N71" s="12" t="str">
        <f>HYPERLINK("https://www.google.com/maps/search/?api=1&amp;query=50-23 47th Street, Woodside, NY 11377", "OPEN MAP")</f>
        <v>OPEN MAP</v>
      </c>
      <c r="O71" s="9" t="s">
        <v>695</v>
      </c>
      <c r="P71" s="9" t="s">
        <v>696</v>
      </c>
      <c r="Q71" s="9" t="s">
        <v>43</v>
      </c>
      <c r="R71" s="9">
        <v>11377</v>
      </c>
      <c r="S71" s="13" t="s">
        <v>697</v>
      </c>
      <c r="T71" s="14">
        <v>977581.11</v>
      </c>
      <c r="U71" s="15">
        <v>45490</v>
      </c>
      <c r="V71" s="15"/>
      <c r="W71" s="14"/>
      <c r="X71" s="15"/>
      <c r="Y71" s="14"/>
      <c r="Z71" s="9"/>
      <c r="AA71" s="9" t="s">
        <v>126</v>
      </c>
      <c r="AB71" s="9" t="s">
        <v>199</v>
      </c>
      <c r="AC71" s="9" t="s">
        <v>128</v>
      </c>
      <c r="AD71" s="9" t="s">
        <v>698</v>
      </c>
      <c r="AE71" s="9"/>
    </row>
    <row r="72" spans="1:31" x14ac:dyDescent="0.2">
      <c r="A72" s="1" t="s">
        <v>31</v>
      </c>
      <c r="B72" s="1"/>
      <c r="C72" s="3">
        <v>45905</v>
      </c>
      <c r="D72" s="1" t="s">
        <v>49</v>
      </c>
      <c r="E72" s="1"/>
      <c r="F72" s="4" t="s">
        <v>699</v>
      </c>
      <c r="G72" s="1">
        <v>2013</v>
      </c>
      <c r="H72" s="1" t="s">
        <v>700</v>
      </c>
      <c r="I72" s="1" t="s">
        <v>701</v>
      </c>
      <c r="J72" s="1" t="s">
        <v>702</v>
      </c>
      <c r="K72" s="1" t="s">
        <v>703</v>
      </c>
      <c r="L72" s="1" t="s">
        <v>704</v>
      </c>
      <c r="M72" s="1" t="s">
        <v>705</v>
      </c>
      <c r="N72" s="5" t="str">
        <f>HYPERLINK("https://www.google.com/maps/search/?api=1&amp;query=9010 Hollis Court Blvd, Queens Village, NY 11428", "OPEN MAP")</f>
        <v>OPEN MAP</v>
      </c>
      <c r="O72" s="1" t="s">
        <v>706</v>
      </c>
      <c r="P72" s="1" t="s">
        <v>178</v>
      </c>
      <c r="Q72" s="1" t="s">
        <v>43</v>
      </c>
      <c r="R72" s="1">
        <v>11428</v>
      </c>
      <c r="S72" s="6" t="s">
        <v>707</v>
      </c>
      <c r="T72" s="7">
        <v>582855.85</v>
      </c>
      <c r="U72" s="8">
        <v>45526</v>
      </c>
      <c r="V72" s="8"/>
      <c r="W72" s="7"/>
      <c r="X72" s="8"/>
      <c r="Y72" s="7"/>
      <c r="Z72" s="1"/>
      <c r="AA72" s="1" t="s">
        <v>708</v>
      </c>
      <c r="AB72" s="1" t="s">
        <v>709</v>
      </c>
      <c r="AC72" s="1"/>
      <c r="AD72" s="1" t="s">
        <v>310</v>
      </c>
      <c r="AE72" s="1"/>
    </row>
    <row r="73" spans="1:31" x14ac:dyDescent="0.2">
      <c r="A73" s="9" t="s">
        <v>31</v>
      </c>
      <c r="B73" s="9"/>
      <c r="C73" s="10">
        <v>45905</v>
      </c>
      <c r="D73" s="9" t="s">
        <v>49</v>
      </c>
      <c r="E73" s="9"/>
      <c r="F73" s="11" t="s">
        <v>710</v>
      </c>
      <c r="G73" s="9">
        <v>2023</v>
      </c>
      <c r="H73" s="9" t="s">
        <v>711</v>
      </c>
      <c r="I73" s="9" t="s">
        <v>712</v>
      </c>
      <c r="J73" s="9" t="s">
        <v>713</v>
      </c>
      <c r="K73" s="9" t="s">
        <v>713</v>
      </c>
      <c r="L73" s="9"/>
      <c r="M73" s="9" t="s">
        <v>714</v>
      </c>
      <c r="N73" s="12" t="str">
        <f>HYPERLINK("https://www.google.com/maps/search/?api=1&amp;query=30-51 82ND STREET, JACKSON HEIGHTS, NY 11372", "OPEN MAP")</f>
        <v>OPEN MAP</v>
      </c>
      <c r="O73" s="9" t="s">
        <v>715</v>
      </c>
      <c r="P73" s="9" t="s">
        <v>716</v>
      </c>
      <c r="Q73" s="9" t="s">
        <v>43</v>
      </c>
      <c r="R73" s="9">
        <v>11372</v>
      </c>
      <c r="S73" s="13" t="s">
        <v>717</v>
      </c>
      <c r="T73" s="14"/>
      <c r="U73" s="15"/>
      <c r="V73" s="15">
        <v>38747</v>
      </c>
      <c r="W73" s="14">
        <v>675000</v>
      </c>
      <c r="X73" s="15" t="s">
        <v>718</v>
      </c>
      <c r="Y73" s="14">
        <v>1257686.77</v>
      </c>
      <c r="Z73" s="9" t="s">
        <v>719</v>
      </c>
      <c r="AA73" s="9" t="s">
        <v>720</v>
      </c>
      <c r="AB73" s="9" t="s">
        <v>721</v>
      </c>
      <c r="AC73" s="9" t="s">
        <v>572</v>
      </c>
      <c r="AD73" s="9"/>
      <c r="AE73" s="9"/>
    </row>
    <row r="74" spans="1:31" x14ac:dyDescent="0.2">
      <c r="A74" s="1" t="s">
        <v>31</v>
      </c>
      <c r="B74" s="1"/>
      <c r="C74" s="3">
        <v>45905</v>
      </c>
      <c r="D74" s="1" t="s">
        <v>49</v>
      </c>
      <c r="E74" s="1"/>
      <c r="F74" s="4" t="s">
        <v>722</v>
      </c>
      <c r="G74" s="1">
        <v>2017</v>
      </c>
      <c r="H74" s="1" t="s">
        <v>723</v>
      </c>
      <c r="I74" s="1" t="s">
        <v>724</v>
      </c>
      <c r="J74" s="1" t="s">
        <v>725</v>
      </c>
      <c r="K74" s="1" t="s">
        <v>725</v>
      </c>
      <c r="L74" s="1"/>
      <c r="M74" s="1" t="s">
        <v>726</v>
      </c>
      <c r="N74" s="5" t="str">
        <f>HYPERLINK("https://www.google.com/maps/search/?api=1&amp;query=13-57 McBride Street, Far Rockaway, NY 11691", "OPEN MAP")</f>
        <v>OPEN MAP</v>
      </c>
      <c r="O74" s="1" t="s">
        <v>727</v>
      </c>
      <c r="P74" s="1" t="s">
        <v>138</v>
      </c>
      <c r="Q74" s="1" t="s">
        <v>43</v>
      </c>
      <c r="R74" s="1">
        <v>11691</v>
      </c>
      <c r="S74" s="6" t="s">
        <v>728</v>
      </c>
      <c r="T74" s="7">
        <v>382621.42</v>
      </c>
      <c r="U74" s="8">
        <v>44781</v>
      </c>
      <c r="V74" s="8"/>
      <c r="W74" s="7"/>
      <c r="X74" s="8"/>
      <c r="Y74" s="7"/>
      <c r="Z74" s="1"/>
      <c r="AA74" s="1" t="s">
        <v>415</v>
      </c>
      <c r="AB74" s="1" t="s">
        <v>416</v>
      </c>
      <c r="AC74" s="1" t="s">
        <v>417</v>
      </c>
      <c r="AD74" s="1" t="s">
        <v>729</v>
      </c>
      <c r="AE74" s="1"/>
    </row>
    <row r="75" spans="1:31" x14ac:dyDescent="0.2">
      <c r="A75" s="9" t="s">
        <v>31</v>
      </c>
      <c r="B75" s="9"/>
      <c r="C75" s="10">
        <v>45905</v>
      </c>
      <c r="D75" s="9" t="s">
        <v>49</v>
      </c>
      <c r="E75" s="9"/>
      <c r="F75" s="11" t="s">
        <v>730</v>
      </c>
      <c r="G75" s="9">
        <v>2017</v>
      </c>
      <c r="H75" s="9" t="s">
        <v>731</v>
      </c>
      <c r="I75" s="9" t="s">
        <v>732</v>
      </c>
      <c r="J75" s="9" t="s">
        <v>733</v>
      </c>
      <c r="K75" s="9" t="s">
        <v>733</v>
      </c>
      <c r="L75" s="9"/>
      <c r="M75" s="9" t="s">
        <v>734</v>
      </c>
      <c r="N75" s="12" t="str">
        <f>HYPERLINK("https://www.google.com/maps/search/?api=1&amp;query=107-06 111TH STREET, SOUTH RICHMOND HILL, NY 11419", "OPEN MAP")</f>
        <v>OPEN MAP</v>
      </c>
      <c r="O75" s="9" t="s">
        <v>735</v>
      </c>
      <c r="P75" s="9" t="s">
        <v>736</v>
      </c>
      <c r="Q75" s="9" t="s">
        <v>43</v>
      </c>
      <c r="R75" s="9">
        <v>11419</v>
      </c>
      <c r="S75" s="13" t="s">
        <v>737</v>
      </c>
      <c r="T75" s="14"/>
      <c r="U75" s="15">
        <v>43858</v>
      </c>
      <c r="V75" s="15"/>
      <c r="W75" s="14"/>
      <c r="X75" s="15"/>
      <c r="Y75" s="14"/>
      <c r="Z75" s="9"/>
      <c r="AA75" s="9" t="s">
        <v>60</v>
      </c>
      <c r="AB75" s="9" t="s">
        <v>61</v>
      </c>
      <c r="AC75" s="9"/>
      <c r="AD75" s="9" t="s">
        <v>738</v>
      </c>
      <c r="AE75" s="9"/>
    </row>
    <row r="76" spans="1:31" x14ac:dyDescent="0.2">
      <c r="A76" s="1" t="s">
        <v>31</v>
      </c>
      <c r="B76" s="1"/>
      <c r="C76" s="3">
        <v>45905</v>
      </c>
      <c r="D76" s="1" t="s">
        <v>49</v>
      </c>
      <c r="E76" s="1"/>
      <c r="F76" s="4" t="s">
        <v>739</v>
      </c>
      <c r="G76" s="1">
        <v>2024</v>
      </c>
      <c r="H76" s="1" t="s">
        <v>740</v>
      </c>
      <c r="I76" s="1" t="s">
        <v>741</v>
      </c>
      <c r="J76" s="1" t="s">
        <v>742</v>
      </c>
      <c r="K76" s="1" t="s">
        <v>743</v>
      </c>
      <c r="L76" s="1"/>
      <c r="M76" s="1" t="s">
        <v>744</v>
      </c>
      <c r="N76" s="5" t="str">
        <f>HYPERLINK("https://www.google.com/maps/search/?api=1&amp;query=104-23 123rd Street, South Richmond Hill, New York 11419", "OPEN MAP")</f>
        <v>OPEN MAP</v>
      </c>
      <c r="O76" s="1" t="s">
        <v>745</v>
      </c>
      <c r="P76" s="1" t="s">
        <v>110</v>
      </c>
      <c r="Q76" s="1" t="s">
        <v>251</v>
      </c>
      <c r="R76" s="1">
        <v>11419</v>
      </c>
      <c r="S76" s="6" t="s">
        <v>746</v>
      </c>
      <c r="T76" s="7">
        <v>442923.57</v>
      </c>
      <c r="U76" s="8">
        <v>45805</v>
      </c>
      <c r="V76" s="8"/>
      <c r="W76" s="7"/>
      <c r="X76" s="8"/>
      <c r="Y76" s="7"/>
      <c r="Z76" s="1"/>
      <c r="AA76" s="1" t="s">
        <v>747</v>
      </c>
      <c r="AB76" s="1" t="s">
        <v>748</v>
      </c>
      <c r="AC76" s="1" t="s">
        <v>749</v>
      </c>
      <c r="AD76" s="1" t="s">
        <v>750</v>
      </c>
      <c r="AE76" s="1"/>
    </row>
    <row r="77" spans="1:31" x14ac:dyDescent="0.2">
      <c r="A77" s="9" t="s">
        <v>31</v>
      </c>
      <c r="B77" s="9"/>
      <c r="C77" s="10">
        <v>45905</v>
      </c>
      <c r="D77" s="9" t="s">
        <v>49</v>
      </c>
      <c r="E77" s="9"/>
      <c r="F77" s="11" t="s">
        <v>751</v>
      </c>
      <c r="G77" s="9">
        <v>2014</v>
      </c>
      <c r="H77" s="9" t="s">
        <v>752</v>
      </c>
      <c r="I77" s="9" t="s">
        <v>233</v>
      </c>
      <c r="J77" s="9" t="s">
        <v>753</v>
      </c>
      <c r="K77" s="9" t="s">
        <v>753</v>
      </c>
      <c r="L77" s="9"/>
      <c r="M77" s="9" t="s">
        <v>754</v>
      </c>
      <c r="N77" s="12" t="str">
        <f>HYPERLINK("https://www.google.com/maps/search/?api=1&amp;query=108-40 164TH STREET, JAMAICA, NY 11433", "OPEN MAP")</f>
        <v>OPEN MAP</v>
      </c>
      <c r="O77" s="9" t="s">
        <v>755</v>
      </c>
      <c r="P77" s="9" t="s">
        <v>274</v>
      </c>
      <c r="Q77" s="9" t="s">
        <v>43</v>
      </c>
      <c r="R77" s="9">
        <v>11433</v>
      </c>
      <c r="S77" s="13" t="s">
        <v>756</v>
      </c>
      <c r="T77" s="14"/>
      <c r="U77" s="15">
        <v>43713</v>
      </c>
      <c r="V77" s="15"/>
      <c r="W77" s="14"/>
      <c r="X77" s="15"/>
      <c r="Y77" s="14"/>
      <c r="Z77" s="9"/>
      <c r="AA77" s="9" t="s">
        <v>60</v>
      </c>
      <c r="AB77" s="9" t="s">
        <v>61</v>
      </c>
      <c r="AC77" s="9"/>
      <c r="AD77" s="9" t="s">
        <v>48</v>
      </c>
      <c r="AE77" s="9"/>
    </row>
    <row r="78" spans="1:31" x14ac:dyDescent="0.2">
      <c r="A78" s="1" t="s">
        <v>31</v>
      </c>
      <c r="B78" s="1"/>
      <c r="C78" s="3">
        <v>45905</v>
      </c>
      <c r="D78" s="1" t="s">
        <v>49</v>
      </c>
      <c r="E78" s="1"/>
      <c r="F78" s="4" t="s">
        <v>757</v>
      </c>
      <c r="G78" s="1">
        <v>2011</v>
      </c>
      <c r="H78" s="1" t="s">
        <v>758</v>
      </c>
      <c r="I78" s="1" t="s">
        <v>759</v>
      </c>
      <c r="J78" s="1" t="s">
        <v>760</v>
      </c>
      <c r="K78" s="1" t="s">
        <v>761</v>
      </c>
      <c r="L78" s="1"/>
      <c r="M78" s="1" t="s">
        <v>762</v>
      </c>
      <c r="N78" s="5" t="str">
        <f>HYPERLINK("https://www.google.com/maps/search/?api=1&amp;query=418 BEACH 43RD ST, FAR ROCKAWAY, NEW YORK 11691", "OPEN MAP")</f>
        <v>OPEN MAP</v>
      </c>
      <c r="O78" s="1" t="s">
        <v>763</v>
      </c>
      <c r="P78" s="1" t="s">
        <v>764</v>
      </c>
      <c r="Q78" s="1" t="s">
        <v>765</v>
      </c>
      <c r="R78" s="1">
        <v>11691</v>
      </c>
      <c r="S78" s="6" t="s">
        <v>766</v>
      </c>
      <c r="T78" s="7"/>
      <c r="U78" s="8"/>
      <c r="V78" s="8">
        <v>39153</v>
      </c>
      <c r="W78" s="7">
        <v>451250</v>
      </c>
      <c r="X78" s="8"/>
      <c r="Y78" s="7"/>
      <c r="Z78" s="1" t="s">
        <v>767</v>
      </c>
      <c r="AA78" s="1" t="s">
        <v>60</v>
      </c>
      <c r="AB78" s="1" t="s">
        <v>768</v>
      </c>
      <c r="AC78" s="1" t="s">
        <v>769</v>
      </c>
      <c r="AD78" s="1"/>
      <c r="AE78" s="1"/>
    </row>
    <row r="79" spans="1:31" x14ac:dyDescent="0.2">
      <c r="A79" s="9" t="s">
        <v>31</v>
      </c>
      <c r="B79" s="9"/>
      <c r="C79" s="10">
        <v>45905</v>
      </c>
      <c r="D79" s="9" t="s">
        <v>32</v>
      </c>
      <c r="E79" s="9"/>
      <c r="F79" s="11" t="s">
        <v>770</v>
      </c>
      <c r="G79" s="9">
        <v>2014</v>
      </c>
      <c r="H79" s="9" t="s">
        <v>771</v>
      </c>
      <c r="I79" s="9" t="s">
        <v>772</v>
      </c>
      <c r="J79" s="9" t="s">
        <v>773</v>
      </c>
      <c r="K79" s="9" t="s">
        <v>773</v>
      </c>
      <c r="L79" s="9" t="s">
        <v>774</v>
      </c>
      <c r="M79" s="9" t="s">
        <v>775</v>
      </c>
      <c r="N79" s="12" t="str">
        <f>HYPERLINK("https://www.google.com/maps/search/?api=1&amp;query=128-09 109TH AVENUE, JAMAICA, NY 11420", "OPEN MAP")</f>
        <v>OPEN MAP</v>
      </c>
      <c r="O79" s="9" t="s">
        <v>776</v>
      </c>
      <c r="P79" s="9" t="s">
        <v>274</v>
      </c>
      <c r="Q79" s="9" t="s">
        <v>43</v>
      </c>
      <c r="R79" s="9">
        <v>11420</v>
      </c>
      <c r="S79" s="13" t="s">
        <v>777</v>
      </c>
      <c r="T79" s="14">
        <v>442018.96</v>
      </c>
      <c r="U79" s="15" t="s">
        <v>778</v>
      </c>
      <c r="V79" s="15"/>
      <c r="W79" s="14"/>
      <c r="X79" s="15"/>
      <c r="Y79" s="14"/>
      <c r="Z79" s="9" t="s">
        <v>779</v>
      </c>
      <c r="AA79" s="9" t="s">
        <v>780</v>
      </c>
      <c r="AB79" s="9" t="s">
        <v>781</v>
      </c>
      <c r="AC79" s="9"/>
      <c r="AD79" s="9" t="s">
        <v>782</v>
      </c>
      <c r="AE79" s="9"/>
    </row>
    <row r="80" spans="1:31" x14ac:dyDescent="0.2">
      <c r="A80" s="1" t="s">
        <v>31</v>
      </c>
      <c r="B80" s="1"/>
      <c r="C80" s="3">
        <v>45905</v>
      </c>
      <c r="D80" s="1" t="s">
        <v>32</v>
      </c>
      <c r="E80" s="1"/>
      <c r="F80" s="4" t="s">
        <v>783</v>
      </c>
      <c r="G80" s="1">
        <v>2017</v>
      </c>
      <c r="H80" s="1" t="s">
        <v>784</v>
      </c>
      <c r="I80" s="1" t="s">
        <v>144</v>
      </c>
      <c r="J80" s="1" t="s">
        <v>785</v>
      </c>
      <c r="K80" s="1" t="s">
        <v>785</v>
      </c>
      <c r="L80" s="1"/>
      <c r="M80" s="1" t="s">
        <v>786</v>
      </c>
      <c r="N80" s="5" t="str">
        <f>HYPERLINK("https://www.google.com/maps/search/?api=1&amp;query=132-03 Linden Boulevard, Queens, NY 11420", "OPEN MAP")</f>
        <v>OPEN MAP</v>
      </c>
      <c r="O80" s="1" t="s">
        <v>787</v>
      </c>
      <c r="P80" s="1" t="s">
        <v>115</v>
      </c>
      <c r="Q80" s="1" t="s">
        <v>43</v>
      </c>
      <c r="R80" s="1">
        <v>11420</v>
      </c>
      <c r="S80" s="6" t="s">
        <v>788</v>
      </c>
      <c r="T80" s="7">
        <v>673665.34</v>
      </c>
      <c r="U80" s="8">
        <v>45575</v>
      </c>
      <c r="V80" s="8"/>
      <c r="W80" s="7"/>
      <c r="X80" s="8"/>
      <c r="Y80" s="7"/>
      <c r="Z80" s="1"/>
      <c r="AA80" s="1" t="s">
        <v>45</v>
      </c>
      <c r="AB80" s="1" t="s">
        <v>46</v>
      </c>
      <c r="AC80" s="1" t="s">
        <v>162</v>
      </c>
      <c r="AD80" s="1" t="s">
        <v>789</v>
      </c>
      <c r="AE80" s="1"/>
    </row>
    <row r="81" spans="1:31" x14ac:dyDescent="0.2">
      <c r="A81" s="9" t="s">
        <v>31</v>
      </c>
      <c r="B81" s="9"/>
      <c r="C81" s="10">
        <v>45905</v>
      </c>
      <c r="D81" s="9" t="s">
        <v>32</v>
      </c>
      <c r="E81" s="9"/>
      <c r="F81" s="11" t="s">
        <v>790</v>
      </c>
      <c r="G81" s="9">
        <v>2022</v>
      </c>
      <c r="H81" s="9" t="s">
        <v>791</v>
      </c>
      <c r="I81" s="9" t="s">
        <v>792</v>
      </c>
      <c r="J81" s="9" t="s">
        <v>793</v>
      </c>
      <c r="K81" s="9" t="s">
        <v>793</v>
      </c>
      <c r="L81" s="9"/>
      <c r="M81" s="9" t="s">
        <v>794</v>
      </c>
      <c r="N81" s="12" t="str">
        <f>HYPERLINK("https://www.google.com/maps/search/?api=1&amp;query=13019 176TH PLACE, JAMAICA, NY 11434", "OPEN MAP")</f>
        <v>OPEN MAP</v>
      </c>
      <c r="O81" s="9" t="s">
        <v>795</v>
      </c>
      <c r="P81" s="9" t="s">
        <v>274</v>
      </c>
      <c r="Q81" s="9" t="s">
        <v>43</v>
      </c>
      <c r="R81" s="9">
        <v>11434</v>
      </c>
      <c r="S81" s="13" t="s">
        <v>796</v>
      </c>
      <c r="T81" s="14"/>
      <c r="U81" s="15">
        <v>45520</v>
      </c>
      <c r="V81" s="15"/>
      <c r="W81" s="14"/>
      <c r="X81" s="15"/>
      <c r="Y81" s="14"/>
      <c r="Z81" s="9"/>
      <c r="AA81" s="9" t="s">
        <v>60</v>
      </c>
      <c r="AB81" s="9" t="s">
        <v>61</v>
      </c>
      <c r="AC81" s="9"/>
      <c r="AD81" s="9" t="s">
        <v>797</v>
      </c>
      <c r="AE81" s="9"/>
    </row>
    <row r="82" spans="1:31" x14ac:dyDescent="0.2">
      <c r="A82" s="1" t="s">
        <v>31</v>
      </c>
      <c r="B82" s="1"/>
      <c r="C82" s="3">
        <v>45905</v>
      </c>
      <c r="D82" s="1" t="s">
        <v>49</v>
      </c>
      <c r="E82" s="1"/>
      <c r="F82" s="4" t="s">
        <v>798</v>
      </c>
      <c r="G82" s="1">
        <v>2013</v>
      </c>
      <c r="H82" s="1" t="s">
        <v>799</v>
      </c>
      <c r="I82" s="1" t="s">
        <v>724</v>
      </c>
      <c r="J82" s="1" t="s">
        <v>800</v>
      </c>
      <c r="K82" s="1" t="s">
        <v>800</v>
      </c>
      <c r="L82" s="1"/>
      <c r="M82" s="1" t="s">
        <v>801</v>
      </c>
      <c r="N82" s="5" t="str">
        <f>HYPERLINK("https://www.google.com/maps/search/?api=1&amp;query=107-42 134th Street, South Richmond Hill, NY 11419", "OPEN MAP")</f>
        <v>OPEN MAP</v>
      </c>
      <c r="O82" s="1" t="s">
        <v>802</v>
      </c>
      <c r="P82" s="1" t="s">
        <v>110</v>
      </c>
      <c r="Q82" s="1" t="s">
        <v>43</v>
      </c>
      <c r="R82" s="1">
        <v>11419</v>
      </c>
      <c r="S82" s="6" t="s">
        <v>803</v>
      </c>
      <c r="T82" s="7">
        <v>471246.21</v>
      </c>
      <c r="U82" s="8">
        <v>42726</v>
      </c>
      <c r="V82" s="8"/>
      <c r="W82" s="7"/>
      <c r="X82" s="8">
        <v>45512</v>
      </c>
      <c r="Y82" s="7"/>
      <c r="Z82" s="1"/>
      <c r="AA82" s="1" t="s">
        <v>348</v>
      </c>
      <c r="AB82" s="1" t="s">
        <v>349</v>
      </c>
      <c r="AC82" s="1"/>
      <c r="AD82" s="1" t="s">
        <v>804</v>
      </c>
      <c r="AE82" s="1"/>
    </row>
    <row r="83" spans="1:31" x14ac:dyDescent="0.2">
      <c r="A83" s="9" t="s">
        <v>115</v>
      </c>
      <c r="B83" s="9"/>
      <c r="C83" s="10">
        <v>45905</v>
      </c>
      <c r="D83" s="9" t="s">
        <v>49</v>
      </c>
      <c r="E83" s="9"/>
      <c r="F83" s="11" t="s">
        <v>805</v>
      </c>
      <c r="G83" s="9">
        <v>2022</v>
      </c>
      <c r="H83" s="9" t="s">
        <v>806</v>
      </c>
      <c r="I83" s="9" t="s">
        <v>807</v>
      </c>
      <c r="J83" s="9" t="s">
        <v>808</v>
      </c>
      <c r="K83" s="9" t="s">
        <v>809</v>
      </c>
      <c r="L83" s="9"/>
      <c r="M83" s="9" t="s">
        <v>810</v>
      </c>
      <c r="N83" s="12" t="str">
        <f>HYPERLINK("https://www.google.com/maps/search/?api=1&amp;query=138-35 Elder Avenue, Parking Garage Unit 173, Flushing, New York", "OPEN MAP")</f>
        <v>OPEN MAP</v>
      </c>
      <c r="O83" s="9" t="s">
        <v>811</v>
      </c>
      <c r="P83" s="9" t="s">
        <v>69</v>
      </c>
      <c r="Q83" s="9" t="s">
        <v>251</v>
      </c>
      <c r="R83" s="9">
        <v>11355</v>
      </c>
      <c r="S83" s="13" t="s">
        <v>812</v>
      </c>
      <c r="T83" s="14">
        <v>3670.78</v>
      </c>
      <c r="U83" s="15"/>
      <c r="V83" s="15"/>
      <c r="W83" s="14"/>
      <c r="X83" s="15"/>
      <c r="Y83" s="14"/>
      <c r="Z83" s="9" t="s">
        <v>470</v>
      </c>
      <c r="AA83" s="9" t="s">
        <v>471</v>
      </c>
      <c r="AB83" s="9" t="s">
        <v>472</v>
      </c>
      <c r="AC83" s="9" t="s">
        <v>473</v>
      </c>
      <c r="AD83" s="9"/>
      <c r="AE83" s="9"/>
    </row>
    <row r="84" spans="1:31" x14ac:dyDescent="0.2">
      <c r="A84" s="1" t="s">
        <v>115</v>
      </c>
      <c r="B84" s="1"/>
      <c r="C84" s="3">
        <v>45905</v>
      </c>
      <c r="D84" s="1" t="s">
        <v>49</v>
      </c>
      <c r="E84" s="1"/>
      <c r="F84" s="4" t="s">
        <v>813</v>
      </c>
      <c r="G84" s="1">
        <v>2023</v>
      </c>
      <c r="H84" s="1" t="s">
        <v>814</v>
      </c>
      <c r="I84" s="1" t="s">
        <v>815</v>
      </c>
      <c r="J84" s="1" t="s">
        <v>816</v>
      </c>
      <c r="K84" s="1" t="s">
        <v>817</v>
      </c>
      <c r="L84" s="1"/>
      <c r="M84" s="1" t="s">
        <v>818</v>
      </c>
      <c r="N84" s="5" t="str">
        <f>HYPERLINK("https://www.google.com/maps/search/?api=1&amp;query=97-12 63rd Drive Unit PHC and Parking Space 18 Rego Park, NY 11374", "OPEN MAP")</f>
        <v>OPEN MAP</v>
      </c>
      <c r="O84" s="1" t="s">
        <v>819</v>
      </c>
      <c r="P84" s="1" t="s">
        <v>395</v>
      </c>
      <c r="Q84" s="1" t="s">
        <v>43</v>
      </c>
      <c r="R84" s="1">
        <v>11374</v>
      </c>
      <c r="S84" s="6" t="s">
        <v>820</v>
      </c>
      <c r="T84" s="7"/>
      <c r="U84" s="8"/>
      <c r="V84" s="8">
        <v>39323</v>
      </c>
      <c r="W84" s="7"/>
      <c r="X84" s="8"/>
      <c r="Y84" s="7"/>
      <c r="Z84" s="1"/>
      <c r="AA84" s="1"/>
      <c r="AB84" s="1"/>
      <c r="AC84" s="1"/>
      <c r="AD84" s="1"/>
      <c r="AE84" s="1"/>
    </row>
    <row r="85" spans="1:31" x14ac:dyDescent="0.2">
      <c r="A85" s="9" t="s">
        <v>31</v>
      </c>
      <c r="B85" s="9"/>
      <c r="C85" s="10">
        <v>45905</v>
      </c>
      <c r="D85" s="9" t="s">
        <v>49</v>
      </c>
      <c r="E85" s="9"/>
      <c r="F85" s="11" t="s">
        <v>821</v>
      </c>
      <c r="G85" s="9">
        <v>2023</v>
      </c>
      <c r="H85" s="9" t="s">
        <v>822</v>
      </c>
      <c r="I85" s="9" t="s">
        <v>823</v>
      </c>
      <c r="J85" s="9" t="s">
        <v>824</v>
      </c>
      <c r="K85" s="9" t="s">
        <v>825</v>
      </c>
      <c r="L85" s="9"/>
      <c r="M85" s="9" t="s">
        <v>826</v>
      </c>
      <c r="N85" s="12" t="str">
        <f>HYPERLINK("https://www.google.com/maps/search/?api=1&amp;query=200-12 Linden Boulevard, St. Albans, New York 11412", "OPEN MAP")</f>
        <v>OPEN MAP</v>
      </c>
      <c r="O85" s="9" t="s">
        <v>827</v>
      </c>
      <c r="P85" s="9" t="s">
        <v>828</v>
      </c>
      <c r="Q85" s="9" t="s">
        <v>251</v>
      </c>
      <c r="R85" s="9">
        <v>11412</v>
      </c>
      <c r="S85" s="13" t="s">
        <v>829</v>
      </c>
      <c r="T85" s="14"/>
      <c r="U85" s="15"/>
      <c r="V85" s="15">
        <v>38418</v>
      </c>
      <c r="W85" s="14">
        <v>376679</v>
      </c>
      <c r="X85" s="15"/>
      <c r="Y85" s="14"/>
      <c r="Z85" s="9" t="s">
        <v>830</v>
      </c>
      <c r="AA85" s="9" t="s">
        <v>831</v>
      </c>
      <c r="AB85" s="9" t="s">
        <v>832</v>
      </c>
      <c r="AC85" s="9" t="s">
        <v>749</v>
      </c>
      <c r="AD85" s="9"/>
      <c r="AE85" s="9"/>
    </row>
    <row r="86" spans="1:31" x14ac:dyDescent="0.2">
      <c r="A86" s="1" t="s">
        <v>115</v>
      </c>
      <c r="B86" s="1"/>
      <c r="C86" s="3">
        <v>45905</v>
      </c>
      <c r="D86" s="1" t="s">
        <v>49</v>
      </c>
      <c r="E86" s="1"/>
      <c r="F86" s="4" t="s">
        <v>833</v>
      </c>
      <c r="G86" s="1">
        <v>2018</v>
      </c>
      <c r="H86" s="1" t="s">
        <v>834</v>
      </c>
      <c r="I86" s="1" t="s">
        <v>835</v>
      </c>
      <c r="J86" s="1" t="s">
        <v>836</v>
      </c>
      <c r="K86" s="1" t="s">
        <v>837</v>
      </c>
      <c r="L86" s="1" t="s">
        <v>838</v>
      </c>
      <c r="M86" s="1" t="s">
        <v>839</v>
      </c>
      <c r="N86" s="5" t="str">
        <f>HYPERLINK("https://www.google.com/maps/search/?api=1&amp;query=128-29 147th Street, Jamaica, New York 11436", "OPEN MAP")</f>
        <v>OPEN MAP</v>
      </c>
      <c r="O86" s="1" t="s">
        <v>840</v>
      </c>
      <c r="P86" s="1" t="s">
        <v>42</v>
      </c>
      <c r="Q86" s="1" t="s">
        <v>251</v>
      </c>
      <c r="R86" s="1">
        <v>11436</v>
      </c>
      <c r="S86" s="6" t="s">
        <v>841</v>
      </c>
      <c r="T86" s="7"/>
      <c r="U86" s="8"/>
      <c r="V86" s="8">
        <v>39652</v>
      </c>
      <c r="W86" s="7">
        <v>455430</v>
      </c>
      <c r="X86" s="8">
        <v>40787</v>
      </c>
      <c r="Y86" s="7">
        <v>516222.67</v>
      </c>
      <c r="Z86" s="1" t="s">
        <v>842</v>
      </c>
      <c r="AA86" s="1" t="s">
        <v>843</v>
      </c>
      <c r="AB86" s="1" t="s">
        <v>844</v>
      </c>
      <c r="AC86" s="1" t="s">
        <v>845</v>
      </c>
      <c r="AD86" s="1"/>
      <c r="AE86" s="1"/>
    </row>
    <row r="87" spans="1:31" x14ac:dyDescent="0.2">
      <c r="A87" s="9" t="s">
        <v>31</v>
      </c>
      <c r="B87" s="9"/>
      <c r="C87" s="10">
        <v>45905</v>
      </c>
      <c r="D87" s="9" t="s">
        <v>49</v>
      </c>
      <c r="E87" s="9"/>
      <c r="F87" s="11" t="s">
        <v>846</v>
      </c>
      <c r="G87" s="9">
        <v>2013</v>
      </c>
      <c r="H87" s="9" t="s">
        <v>847</v>
      </c>
      <c r="I87" s="9" t="s">
        <v>476</v>
      </c>
      <c r="J87" s="9" t="s">
        <v>848</v>
      </c>
      <c r="K87" s="9" t="s">
        <v>848</v>
      </c>
      <c r="L87" s="9"/>
      <c r="M87" s="9" t="s">
        <v>849</v>
      </c>
      <c r="N87" s="12" t="str">
        <f>HYPERLINK("https://www.google.com/maps/search/?api=1&amp;query=14735 Springfield Ln, Rosedale, NY 11413", "OPEN MAP")</f>
        <v>OPEN MAP</v>
      </c>
      <c r="O87" s="9" t="s">
        <v>850</v>
      </c>
      <c r="P87" s="9" t="s">
        <v>851</v>
      </c>
      <c r="Q87" s="9" t="s">
        <v>43</v>
      </c>
      <c r="R87" s="9">
        <v>11413</v>
      </c>
      <c r="S87" s="13" t="s">
        <v>852</v>
      </c>
      <c r="T87" s="14">
        <v>853777.58</v>
      </c>
      <c r="U87" s="15">
        <v>45076</v>
      </c>
      <c r="V87" s="15"/>
      <c r="W87" s="14"/>
      <c r="X87" s="15"/>
      <c r="Y87" s="14"/>
      <c r="Z87" s="9"/>
      <c r="AA87" s="9" t="s">
        <v>482</v>
      </c>
      <c r="AB87" s="9" t="s">
        <v>688</v>
      </c>
      <c r="AC87" s="9"/>
      <c r="AD87" s="9" t="s">
        <v>689</v>
      </c>
      <c r="AE87" s="9"/>
    </row>
    <row r="88" spans="1:31" x14ac:dyDescent="0.2">
      <c r="A88" s="1" t="s">
        <v>31</v>
      </c>
      <c r="B88" s="1"/>
      <c r="C88" s="3">
        <v>45905</v>
      </c>
      <c r="D88" s="1" t="s">
        <v>32</v>
      </c>
      <c r="E88" s="1"/>
      <c r="F88" s="4" t="s">
        <v>853</v>
      </c>
      <c r="G88" s="1">
        <v>2016</v>
      </c>
      <c r="H88" s="1" t="s">
        <v>854</v>
      </c>
      <c r="I88" s="1" t="s">
        <v>333</v>
      </c>
      <c r="J88" s="1" t="s">
        <v>855</v>
      </c>
      <c r="K88" s="1" t="s">
        <v>855</v>
      </c>
      <c r="L88" s="1"/>
      <c r="M88" s="1" t="s">
        <v>856</v>
      </c>
      <c r="N88" s="5" t="str">
        <f>HYPERLINK("https://www.google.com/maps/search/?api=1&amp;query=130-58 224TH STREET, SPRINGFIELD GARDENS, NY 11413", "OPEN MAP")</f>
        <v>OPEN MAP</v>
      </c>
      <c r="O88" s="1" t="s">
        <v>857</v>
      </c>
      <c r="P88" s="1" t="s">
        <v>858</v>
      </c>
      <c r="Q88" s="1" t="s">
        <v>43</v>
      </c>
      <c r="R88" s="1">
        <v>11413</v>
      </c>
      <c r="S88" s="6"/>
      <c r="T88" s="7">
        <v>285261.34999999998</v>
      </c>
      <c r="U88" s="8">
        <v>43644</v>
      </c>
      <c r="V88" s="8"/>
      <c r="W88" s="7"/>
      <c r="X88" s="8"/>
      <c r="Y88" s="7"/>
      <c r="Z88" s="1"/>
      <c r="AA88" s="1" t="s">
        <v>91</v>
      </c>
      <c r="AB88" s="1" t="s">
        <v>92</v>
      </c>
      <c r="AC88" s="1"/>
      <c r="AD88" s="1" t="s">
        <v>859</v>
      </c>
      <c r="AE88" s="1"/>
    </row>
    <row r="89" spans="1:31" x14ac:dyDescent="0.2">
      <c r="A89" s="9" t="s">
        <v>31</v>
      </c>
      <c r="B89" s="9"/>
      <c r="C89" s="10">
        <v>45905</v>
      </c>
      <c r="D89" s="9" t="s">
        <v>32</v>
      </c>
      <c r="E89" s="9"/>
      <c r="F89" s="11" t="s">
        <v>860</v>
      </c>
      <c r="G89" s="9">
        <v>2018</v>
      </c>
      <c r="H89" s="9" t="s">
        <v>861</v>
      </c>
      <c r="I89" s="9" t="s">
        <v>862</v>
      </c>
      <c r="J89" s="9" t="s">
        <v>863</v>
      </c>
      <c r="K89" s="9" t="s">
        <v>863</v>
      </c>
      <c r="L89" s="9"/>
      <c r="M89" s="9" t="s">
        <v>864</v>
      </c>
      <c r="N89" s="12" t="str">
        <f>HYPERLINK("https://www.google.com/maps/search/?api=1&amp;query=104-21 215th Street, Queens Village, NY 11429", "OPEN MAP")</f>
        <v>OPEN MAP</v>
      </c>
      <c r="O89" s="9" t="s">
        <v>865</v>
      </c>
      <c r="P89" s="9" t="s">
        <v>178</v>
      </c>
      <c r="Q89" s="9" t="s">
        <v>43</v>
      </c>
      <c r="R89" s="9">
        <v>11429</v>
      </c>
      <c r="S89" s="13" t="s">
        <v>866</v>
      </c>
      <c r="T89" s="14">
        <v>560781.09</v>
      </c>
      <c r="U89" s="15">
        <v>43789</v>
      </c>
      <c r="V89" s="15"/>
      <c r="W89" s="14"/>
      <c r="X89" s="15"/>
      <c r="Y89" s="14"/>
      <c r="Z89" s="9" t="s">
        <v>867</v>
      </c>
      <c r="AA89" s="9" t="s">
        <v>868</v>
      </c>
      <c r="AB89" s="9" t="s">
        <v>869</v>
      </c>
      <c r="AC89" s="9" t="s">
        <v>870</v>
      </c>
      <c r="AD89" s="9" t="s">
        <v>388</v>
      </c>
      <c r="AE89" s="9"/>
    </row>
    <row r="90" spans="1:31" x14ac:dyDescent="0.2">
      <c r="A90" s="1" t="s">
        <v>31</v>
      </c>
      <c r="B90" s="1"/>
      <c r="C90" s="3">
        <v>45905</v>
      </c>
      <c r="D90" s="1" t="s">
        <v>49</v>
      </c>
      <c r="E90" s="1" t="s">
        <v>33</v>
      </c>
      <c r="F90" s="4" t="s">
        <v>871</v>
      </c>
      <c r="G90" s="1">
        <v>2023</v>
      </c>
      <c r="H90" s="1" t="s">
        <v>872</v>
      </c>
      <c r="I90" s="1" t="s">
        <v>683</v>
      </c>
      <c r="J90" s="1" t="s">
        <v>873</v>
      </c>
      <c r="K90" s="1" t="s">
        <v>874</v>
      </c>
      <c r="L90" s="1"/>
      <c r="M90" s="1" t="s">
        <v>875</v>
      </c>
      <c r="N90" s="5" t="str">
        <f>HYPERLINK("https://www.google.com/maps/search/?api=1&amp;query=24-02 Oceancrest a/k/a Ocean Crest Boulevard, Far Rockaway, NY 11691", "OPEN MAP")</f>
        <v>OPEN MAP</v>
      </c>
      <c r="O90" s="1" t="s">
        <v>876</v>
      </c>
      <c r="P90" s="1" t="s">
        <v>138</v>
      </c>
      <c r="Q90" s="1" t="s">
        <v>43</v>
      </c>
      <c r="R90" s="1">
        <v>11691</v>
      </c>
      <c r="S90" s="6" t="s">
        <v>877</v>
      </c>
      <c r="T90" s="7">
        <v>1014418.34</v>
      </c>
      <c r="U90" s="8">
        <v>45608</v>
      </c>
      <c r="V90" s="8"/>
      <c r="W90" s="7"/>
      <c r="X90" s="8"/>
      <c r="Y90" s="7"/>
      <c r="Z90" s="1"/>
      <c r="AA90" s="1" t="s">
        <v>426</v>
      </c>
      <c r="AB90" s="1" t="s">
        <v>601</v>
      </c>
      <c r="AC90" s="1"/>
      <c r="AD90" s="1" t="s">
        <v>310</v>
      </c>
      <c r="AE90" s="1"/>
    </row>
    <row r="91" spans="1:31" x14ac:dyDescent="0.2">
      <c r="A91" s="9" t="s">
        <v>31</v>
      </c>
      <c r="B91" s="9"/>
      <c r="C91" s="10">
        <v>45905</v>
      </c>
      <c r="D91" s="9" t="s">
        <v>32</v>
      </c>
      <c r="E91" s="9"/>
      <c r="F91" s="11" t="s">
        <v>878</v>
      </c>
      <c r="G91" s="9">
        <v>2018</v>
      </c>
      <c r="H91" s="9" t="s">
        <v>879</v>
      </c>
      <c r="I91" s="9" t="s">
        <v>233</v>
      </c>
      <c r="J91" s="9" t="s">
        <v>880</v>
      </c>
      <c r="K91" s="9" t="s">
        <v>881</v>
      </c>
      <c r="L91" s="9" t="s">
        <v>882</v>
      </c>
      <c r="M91" s="9" t="s">
        <v>883</v>
      </c>
      <c r="N91" s="12" t="str">
        <f>HYPERLINK("https://www.google.com/maps/search/?api=1&amp;query=24855 A/K/A 248-55 88th Road, Bellerose, NY 11426", "OPEN MAP")</f>
        <v>OPEN MAP</v>
      </c>
      <c r="O91" s="9" t="s">
        <v>884</v>
      </c>
      <c r="P91" s="9" t="s">
        <v>885</v>
      </c>
      <c r="Q91" s="9" t="s">
        <v>43</v>
      </c>
      <c r="R91" s="9">
        <v>11426</v>
      </c>
      <c r="S91" s="13" t="s">
        <v>886</v>
      </c>
      <c r="T91" s="14">
        <v>577805</v>
      </c>
      <c r="U91" s="15">
        <v>44021</v>
      </c>
      <c r="V91" s="15"/>
      <c r="W91" s="14"/>
      <c r="X91" s="15"/>
      <c r="Y91" s="14"/>
      <c r="Z91" s="9"/>
      <c r="AA91" s="9" t="s">
        <v>708</v>
      </c>
      <c r="AB91" s="9" t="s">
        <v>709</v>
      </c>
      <c r="AC91" s="9"/>
      <c r="AD91" s="9" t="s">
        <v>887</v>
      </c>
      <c r="AE91" s="9"/>
    </row>
    <row r="92" spans="1:31" x14ac:dyDescent="0.2">
      <c r="A92" s="1" t="s">
        <v>115</v>
      </c>
      <c r="B92" s="1"/>
      <c r="C92" s="3">
        <v>45905</v>
      </c>
      <c r="D92" s="1" t="s">
        <v>49</v>
      </c>
      <c r="E92" s="1"/>
      <c r="F92" s="4" t="s">
        <v>888</v>
      </c>
      <c r="G92" s="1">
        <v>2012</v>
      </c>
      <c r="H92" s="1" t="s">
        <v>889</v>
      </c>
      <c r="I92" s="1" t="s">
        <v>890</v>
      </c>
      <c r="J92" s="1" t="s">
        <v>891</v>
      </c>
      <c r="K92" s="1" t="s">
        <v>892</v>
      </c>
      <c r="L92" s="1" t="s">
        <v>893</v>
      </c>
      <c r="M92" s="1" t="s">
        <v>894</v>
      </c>
      <c r="N92" s="5" t="str">
        <f>HYPERLINK("https://www.google.com/maps/search/?api=1&amp;query=142-07 135th Avenue, Jamaica, New York 11436", "OPEN MAP")</f>
        <v>OPEN MAP</v>
      </c>
      <c r="O92" s="1" t="s">
        <v>895</v>
      </c>
      <c r="P92" s="1" t="s">
        <v>42</v>
      </c>
      <c r="Q92" s="1" t="s">
        <v>251</v>
      </c>
      <c r="R92" s="1">
        <v>11436</v>
      </c>
      <c r="S92" s="6" t="s">
        <v>896</v>
      </c>
      <c r="T92" s="7"/>
      <c r="U92" s="8"/>
      <c r="V92" s="8">
        <v>39094</v>
      </c>
      <c r="W92" s="7">
        <v>487500</v>
      </c>
      <c r="X92" s="8"/>
      <c r="Y92" s="7"/>
      <c r="Z92" s="1" t="s">
        <v>359</v>
      </c>
      <c r="AA92" s="1" t="s">
        <v>318</v>
      </c>
      <c r="AB92" s="1" t="s">
        <v>360</v>
      </c>
      <c r="AC92" s="1" t="s">
        <v>583</v>
      </c>
      <c r="AD92" s="1"/>
      <c r="AE92" s="1"/>
    </row>
    <row r="93" spans="1:31" x14ac:dyDescent="0.2">
      <c r="A93" s="9" t="s">
        <v>31</v>
      </c>
      <c r="B93" s="9"/>
      <c r="C93" s="10">
        <v>45905</v>
      </c>
      <c r="D93" s="9" t="s">
        <v>49</v>
      </c>
      <c r="E93" s="9"/>
      <c r="F93" s="11" t="s">
        <v>897</v>
      </c>
      <c r="G93" s="9">
        <v>2023</v>
      </c>
      <c r="H93" s="9" t="s">
        <v>898</v>
      </c>
      <c r="I93" s="9" t="s">
        <v>807</v>
      </c>
      <c r="J93" s="9" t="s">
        <v>899</v>
      </c>
      <c r="K93" s="9" t="s">
        <v>900</v>
      </c>
      <c r="L93" s="9"/>
      <c r="M93" s="9" t="s">
        <v>901</v>
      </c>
      <c r="N93" s="12" t="str">
        <f>HYPERLINK("https://www.google.com/maps/search/?api=1&amp;query=143-10 Liberty Avenue, Jamaica, New York 11435", "OPEN MAP")</f>
        <v>OPEN MAP</v>
      </c>
      <c r="O93" s="9" t="s">
        <v>902</v>
      </c>
      <c r="P93" s="9" t="s">
        <v>42</v>
      </c>
      <c r="Q93" s="9" t="s">
        <v>251</v>
      </c>
      <c r="R93" s="9">
        <v>11435</v>
      </c>
      <c r="S93" s="13" t="s">
        <v>903</v>
      </c>
      <c r="T93" s="14"/>
      <c r="U93" s="15"/>
      <c r="V93" s="15"/>
      <c r="W93" s="14"/>
      <c r="X93" s="15"/>
      <c r="Y93" s="14"/>
      <c r="Z93" s="9" t="s">
        <v>470</v>
      </c>
      <c r="AA93" s="9" t="s">
        <v>471</v>
      </c>
      <c r="AB93" s="9" t="s">
        <v>472</v>
      </c>
      <c r="AC93" s="9" t="s">
        <v>473</v>
      </c>
      <c r="AD93" s="9"/>
      <c r="AE93" s="9"/>
    </row>
    <row r="94" spans="1:31" x14ac:dyDescent="0.2">
      <c r="A94" s="1" t="s">
        <v>31</v>
      </c>
      <c r="B94" s="1"/>
      <c r="C94" s="3">
        <v>45905</v>
      </c>
      <c r="D94" s="1" t="s">
        <v>49</v>
      </c>
      <c r="E94" s="1"/>
      <c r="F94" s="4" t="s">
        <v>904</v>
      </c>
      <c r="G94" s="1">
        <v>2023</v>
      </c>
      <c r="H94" s="1" t="s">
        <v>905</v>
      </c>
      <c r="I94" s="1" t="s">
        <v>65</v>
      </c>
      <c r="J94" s="1" t="s">
        <v>66</v>
      </c>
      <c r="K94" s="1" t="s">
        <v>66</v>
      </c>
      <c r="L94" s="1"/>
      <c r="M94" s="1" t="s">
        <v>906</v>
      </c>
      <c r="N94" s="5" t="str">
        <f>HYPERLINK("https://www.google.com/maps/search/?api=1&amp;query=136-31 41st Avenue, Unit 8A, Flushing, NY 11355", "OPEN MAP")</f>
        <v>OPEN MAP</v>
      </c>
      <c r="O94" s="1" t="s">
        <v>907</v>
      </c>
      <c r="P94" s="1" t="s">
        <v>69</v>
      </c>
      <c r="Q94" s="1" t="s">
        <v>43</v>
      </c>
      <c r="R94" s="1">
        <v>11355</v>
      </c>
      <c r="S94" s="6" t="s">
        <v>908</v>
      </c>
      <c r="T94" s="7">
        <v>646688.88</v>
      </c>
      <c r="U94" s="8">
        <v>45580</v>
      </c>
      <c r="V94" s="8"/>
      <c r="W94" s="7"/>
      <c r="X94" s="8"/>
      <c r="Y94" s="7"/>
      <c r="Z94" s="1"/>
      <c r="AA94" s="1" t="s">
        <v>909</v>
      </c>
      <c r="AB94" s="1" t="s">
        <v>72</v>
      </c>
      <c r="AC94" s="1"/>
      <c r="AD94" s="1" t="s">
        <v>797</v>
      </c>
      <c r="AE94" s="1"/>
    </row>
    <row r="95" spans="1:31" x14ac:dyDescent="0.2">
      <c r="A95" s="9" t="s">
        <v>31</v>
      </c>
      <c r="B95" s="9"/>
      <c r="C95" s="10">
        <v>45905</v>
      </c>
      <c r="D95" s="9" t="s">
        <v>49</v>
      </c>
      <c r="E95" s="9"/>
      <c r="F95" s="11" t="s">
        <v>910</v>
      </c>
      <c r="G95" s="9">
        <v>2013</v>
      </c>
      <c r="H95" s="9" t="s">
        <v>911</v>
      </c>
      <c r="I95" s="9" t="s">
        <v>912</v>
      </c>
      <c r="J95" s="9" t="s">
        <v>913</v>
      </c>
      <c r="K95" s="9" t="s">
        <v>913</v>
      </c>
      <c r="L95" s="9"/>
      <c r="M95" s="9" t="s">
        <v>914</v>
      </c>
      <c r="N95" s="12" t="str">
        <f>HYPERLINK("https://www.google.com/maps/search/?api=1&amp;query=128-15 235th Street, Rosedale, NY 11422", "OPEN MAP")</f>
        <v>OPEN MAP</v>
      </c>
      <c r="O95" s="9" t="s">
        <v>915</v>
      </c>
      <c r="P95" s="9" t="s">
        <v>851</v>
      </c>
      <c r="Q95" s="9" t="s">
        <v>43</v>
      </c>
      <c r="R95" s="9">
        <v>11422</v>
      </c>
      <c r="S95" s="13" t="s">
        <v>916</v>
      </c>
      <c r="T95" s="14">
        <v>692515.15</v>
      </c>
      <c r="U95" s="15">
        <v>43717</v>
      </c>
      <c r="V95" s="15"/>
      <c r="W95" s="14"/>
      <c r="X95" s="15"/>
      <c r="Y95" s="14"/>
      <c r="Z95" s="9"/>
      <c r="AA95" s="9" t="s">
        <v>426</v>
      </c>
      <c r="AB95" s="9" t="s">
        <v>601</v>
      </c>
      <c r="AC95" s="9"/>
      <c r="AD95" s="9" t="s">
        <v>689</v>
      </c>
      <c r="AE95" s="9"/>
    </row>
    <row r="96" spans="1:31" x14ac:dyDescent="0.2">
      <c r="A96" s="1" t="s">
        <v>31</v>
      </c>
      <c r="B96" s="1"/>
      <c r="C96" s="3">
        <v>45905</v>
      </c>
      <c r="D96" s="1" t="s">
        <v>49</v>
      </c>
      <c r="E96" s="1"/>
      <c r="F96" s="4" t="s">
        <v>917</v>
      </c>
      <c r="G96" s="1">
        <v>2017</v>
      </c>
      <c r="H96" s="1" t="s">
        <v>918</v>
      </c>
      <c r="I96" s="1" t="s">
        <v>919</v>
      </c>
      <c r="J96" s="1" t="s">
        <v>920</v>
      </c>
      <c r="K96" s="1" t="s">
        <v>920</v>
      </c>
      <c r="L96" s="1"/>
      <c r="M96" s="1" t="s">
        <v>921</v>
      </c>
      <c r="N96" s="5" t="str">
        <f>HYPERLINK("https://www.google.com/maps/search/?api=1&amp;query=114-43 212TH STREET, JAMAICA, NY 11411", "OPEN MAP")</f>
        <v>OPEN MAP</v>
      </c>
      <c r="O96" s="1" t="s">
        <v>922</v>
      </c>
      <c r="P96" s="1" t="s">
        <v>274</v>
      </c>
      <c r="Q96" s="1" t="s">
        <v>43</v>
      </c>
      <c r="R96" s="1">
        <v>11411</v>
      </c>
      <c r="S96" s="6" t="s">
        <v>923</v>
      </c>
      <c r="T96" s="7"/>
      <c r="U96" s="8">
        <v>44893</v>
      </c>
      <c r="V96" s="8"/>
      <c r="W96" s="7"/>
      <c r="X96" s="8"/>
      <c r="Y96" s="7"/>
      <c r="Z96" s="1"/>
      <c r="AA96" s="1" t="s">
        <v>60</v>
      </c>
      <c r="AB96" s="1" t="s">
        <v>61</v>
      </c>
      <c r="AC96" s="1"/>
      <c r="AD96" s="1" t="s">
        <v>924</v>
      </c>
      <c r="AE96" s="1"/>
    </row>
    <row r="97" spans="1:31" x14ac:dyDescent="0.2">
      <c r="A97" s="9" t="s">
        <v>31</v>
      </c>
      <c r="B97" s="9"/>
      <c r="C97" s="10">
        <v>45905</v>
      </c>
      <c r="D97" s="9" t="s">
        <v>32</v>
      </c>
      <c r="E97" s="9"/>
      <c r="F97" s="11" t="s">
        <v>925</v>
      </c>
      <c r="G97" s="9">
        <v>2014</v>
      </c>
      <c r="H97" s="9" t="s">
        <v>926</v>
      </c>
      <c r="I97" s="9" t="s">
        <v>194</v>
      </c>
      <c r="J97" s="9" t="s">
        <v>927</v>
      </c>
      <c r="K97" s="9" t="s">
        <v>927</v>
      </c>
      <c r="L97" s="9" t="s">
        <v>928</v>
      </c>
      <c r="M97" s="9" t="s">
        <v>929</v>
      </c>
      <c r="N97" s="12" t="str">
        <f>HYPERLINK("https://www.google.com/maps/search/?api=1&amp;query=110-03 Guy R. Brewer Blvd, Jamaica, NY 11433", "OPEN MAP")</f>
        <v>OPEN MAP</v>
      </c>
      <c r="O97" s="9" t="s">
        <v>930</v>
      </c>
      <c r="P97" s="9" t="s">
        <v>42</v>
      </c>
      <c r="Q97" s="9" t="s">
        <v>43</v>
      </c>
      <c r="R97" s="9">
        <v>11433</v>
      </c>
      <c r="S97" s="13" t="s">
        <v>931</v>
      </c>
      <c r="T97" s="14">
        <v>274969.17</v>
      </c>
      <c r="U97" s="15">
        <v>43895</v>
      </c>
      <c r="V97" s="15"/>
      <c r="W97" s="14"/>
      <c r="X97" s="15"/>
      <c r="Y97" s="14"/>
      <c r="Z97" s="9"/>
      <c r="AA97" s="9" t="s">
        <v>126</v>
      </c>
      <c r="AB97" s="9" t="s">
        <v>199</v>
      </c>
      <c r="AC97" s="9" t="s">
        <v>128</v>
      </c>
      <c r="AD97" s="9" t="s">
        <v>932</v>
      </c>
      <c r="AE97" s="9"/>
    </row>
    <row r="98" spans="1:31" x14ac:dyDescent="0.2">
      <c r="A98" s="1" t="s">
        <v>31</v>
      </c>
      <c r="B98" s="1"/>
      <c r="C98" s="3">
        <v>45905</v>
      </c>
      <c r="D98" s="1" t="s">
        <v>49</v>
      </c>
      <c r="E98" s="1"/>
      <c r="F98" s="4" t="s">
        <v>933</v>
      </c>
      <c r="G98" s="1">
        <v>2011</v>
      </c>
      <c r="H98" s="1" t="s">
        <v>934</v>
      </c>
      <c r="I98" s="1" t="s">
        <v>935</v>
      </c>
      <c r="J98" s="1" t="s">
        <v>936</v>
      </c>
      <c r="K98" s="1" t="s">
        <v>936</v>
      </c>
      <c r="L98" s="1"/>
      <c r="M98" s="1" t="s">
        <v>937</v>
      </c>
      <c r="N98" s="5" t="str">
        <f>HYPERLINK("https://www.google.com/maps/search/?api=1&amp;query=9022 52ND AVENUE, ELMHURST, NY 11373", "OPEN MAP")</f>
        <v>OPEN MAP</v>
      </c>
      <c r="O98" s="1" t="s">
        <v>938</v>
      </c>
      <c r="P98" s="1" t="s">
        <v>939</v>
      </c>
      <c r="Q98" s="1" t="s">
        <v>43</v>
      </c>
      <c r="R98" s="1">
        <v>11373</v>
      </c>
      <c r="S98" s="6" t="s">
        <v>940</v>
      </c>
      <c r="T98" s="7"/>
      <c r="U98" s="8">
        <v>45215</v>
      </c>
      <c r="V98" s="8"/>
      <c r="W98" s="7"/>
      <c r="X98" s="8"/>
      <c r="Y98" s="7"/>
      <c r="Z98" s="1"/>
      <c r="AA98" s="1" t="s">
        <v>60</v>
      </c>
      <c r="AB98" s="1" t="s">
        <v>61</v>
      </c>
      <c r="AC98" s="1"/>
      <c r="AD98" s="1" t="s">
        <v>941</v>
      </c>
      <c r="AE98" s="1"/>
    </row>
    <row r="99" spans="1:31" x14ac:dyDescent="0.2">
      <c r="A99" s="9" t="s">
        <v>31</v>
      </c>
      <c r="B99" s="9"/>
      <c r="C99" s="10">
        <v>45905</v>
      </c>
      <c r="D99" s="9" t="s">
        <v>32</v>
      </c>
      <c r="E99" s="9"/>
      <c r="F99" s="11" t="s">
        <v>942</v>
      </c>
      <c r="G99" s="9">
        <v>2019</v>
      </c>
      <c r="H99" s="9" t="s">
        <v>943</v>
      </c>
      <c r="I99" s="9" t="s">
        <v>944</v>
      </c>
      <c r="J99" s="9" t="s">
        <v>945</v>
      </c>
      <c r="K99" s="9" t="s">
        <v>946</v>
      </c>
      <c r="L99" s="9" t="s">
        <v>947</v>
      </c>
      <c r="M99" s="9" t="s">
        <v>948</v>
      </c>
      <c r="N99" s="12" t="str">
        <f>HYPERLINK("https://www.google.com/maps/search/?api=1&amp;query=85-20 167th Street Jamaica, New York 11432", "OPEN MAP")</f>
        <v>OPEN MAP</v>
      </c>
      <c r="O99" s="9" t="s">
        <v>949</v>
      </c>
      <c r="P99" s="9" t="s">
        <v>42</v>
      </c>
      <c r="Q99" s="9" t="s">
        <v>251</v>
      </c>
      <c r="R99" s="9">
        <v>11432</v>
      </c>
      <c r="S99" s="13" t="s">
        <v>950</v>
      </c>
      <c r="T99" s="14">
        <v>891648.51</v>
      </c>
      <c r="U99" s="15">
        <v>45064</v>
      </c>
      <c r="V99" s="15"/>
      <c r="W99" s="14"/>
      <c r="X99" s="15"/>
      <c r="Y99" s="14"/>
      <c r="Z99" s="9" t="s">
        <v>951</v>
      </c>
      <c r="AA99" s="9" t="s">
        <v>952</v>
      </c>
      <c r="AB99" s="9" t="s">
        <v>953</v>
      </c>
      <c r="AC99" s="9" t="s">
        <v>954</v>
      </c>
      <c r="AD99" s="9" t="s">
        <v>955</v>
      </c>
      <c r="AE99" s="9"/>
    </row>
    <row r="100" spans="1:31" x14ac:dyDescent="0.2">
      <c r="A100" s="1" t="s">
        <v>115</v>
      </c>
      <c r="B100" s="1"/>
      <c r="C100" s="3">
        <v>45905</v>
      </c>
      <c r="D100" s="1" t="s">
        <v>32</v>
      </c>
      <c r="E100" s="1"/>
      <c r="F100" s="4" t="s">
        <v>956</v>
      </c>
      <c r="G100" s="1">
        <v>2016</v>
      </c>
      <c r="H100" s="1" t="s">
        <v>957</v>
      </c>
      <c r="I100" s="1" t="s">
        <v>132</v>
      </c>
      <c r="J100" s="1" t="s">
        <v>958</v>
      </c>
      <c r="K100" s="1" t="s">
        <v>959</v>
      </c>
      <c r="L100" s="1" t="s">
        <v>960</v>
      </c>
      <c r="M100" s="1" t="s">
        <v>961</v>
      </c>
      <c r="N100" s="5" t="str">
        <f>HYPERLINK("https://www.google.com/maps/search/?api=1&amp;query=91-38 Springfield Boulevard, Queens Village, NY 11428", "OPEN MAP")</f>
        <v>OPEN MAP</v>
      </c>
      <c r="O100" s="1" t="s">
        <v>962</v>
      </c>
      <c r="P100" s="1" t="s">
        <v>178</v>
      </c>
      <c r="Q100" s="1" t="s">
        <v>43</v>
      </c>
      <c r="R100" s="1">
        <v>11428</v>
      </c>
      <c r="S100" s="6" t="s">
        <v>963</v>
      </c>
      <c r="T100" s="7">
        <v>319283.38</v>
      </c>
      <c r="U100" s="8">
        <v>42780</v>
      </c>
      <c r="V100" s="8"/>
      <c r="W100" s="7"/>
      <c r="X100" s="8"/>
      <c r="Y100" s="7"/>
      <c r="Z100" s="1"/>
      <c r="AA100" s="1" t="s">
        <v>140</v>
      </c>
      <c r="AB100" s="1" t="s">
        <v>309</v>
      </c>
      <c r="AC100" s="1"/>
      <c r="AD100" s="1" t="s">
        <v>964</v>
      </c>
      <c r="AE100" s="1"/>
    </row>
    <row r="101" spans="1:31" x14ac:dyDescent="0.2">
      <c r="A101" s="9" t="s">
        <v>115</v>
      </c>
      <c r="B101" s="9"/>
      <c r="C101" s="10">
        <v>45905</v>
      </c>
      <c r="D101" s="9" t="s">
        <v>32</v>
      </c>
      <c r="E101" s="9"/>
      <c r="F101" s="11" t="s">
        <v>965</v>
      </c>
      <c r="G101" s="9">
        <v>2019</v>
      </c>
      <c r="H101" s="9" t="s">
        <v>966</v>
      </c>
      <c r="I101" s="9" t="s">
        <v>683</v>
      </c>
      <c r="J101" s="9" t="s">
        <v>967</v>
      </c>
      <c r="K101" s="9" t="s">
        <v>967</v>
      </c>
      <c r="L101" s="9"/>
      <c r="M101" s="9" t="s">
        <v>968</v>
      </c>
      <c r="N101" s="12" t="str">
        <f>HYPERLINK("https://www.google.com/maps/search/?api=1&amp;query=43-47 247th Street, Flushing, NY 11363", "OPEN MAP")</f>
        <v>OPEN MAP</v>
      </c>
      <c r="O101" s="9" t="s">
        <v>969</v>
      </c>
      <c r="P101" s="9" t="s">
        <v>69</v>
      </c>
      <c r="Q101" s="9" t="s">
        <v>43</v>
      </c>
      <c r="R101" s="9">
        <v>11363</v>
      </c>
      <c r="S101" s="13" t="s">
        <v>970</v>
      </c>
      <c r="T101" s="14">
        <v>364837.94</v>
      </c>
      <c r="U101" s="15">
        <v>44631</v>
      </c>
      <c r="V101" s="15"/>
      <c r="W101" s="14"/>
      <c r="X101" s="15"/>
      <c r="Y101" s="14"/>
      <c r="Z101" s="9"/>
      <c r="AA101" s="9" t="s">
        <v>426</v>
      </c>
      <c r="AB101" s="9" t="s">
        <v>427</v>
      </c>
      <c r="AC101" s="9"/>
      <c r="AD101" s="9" t="s">
        <v>797</v>
      </c>
      <c r="AE101" s="9"/>
    </row>
    <row r="102" spans="1:31" x14ac:dyDescent="0.2">
      <c r="A102" s="1" t="s">
        <v>31</v>
      </c>
      <c r="B102" s="1"/>
      <c r="C102" s="3">
        <v>45905</v>
      </c>
      <c r="D102" s="1" t="s">
        <v>49</v>
      </c>
      <c r="E102" s="1"/>
      <c r="F102" s="4" t="s">
        <v>971</v>
      </c>
      <c r="G102" s="1">
        <v>2015</v>
      </c>
      <c r="H102" s="1" t="s">
        <v>972</v>
      </c>
      <c r="I102" s="1" t="s">
        <v>144</v>
      </c>
      <c r="J102" s="1" t="s">
        <v>973</v>
      </c>
      <c r="K102" s="1" t="s">
        <v>973</v>
      </c>
      <c r="L102" s="1"/>
      <c r="M102" s="1" t="s">
        <v>974</v>
      </c>
      <c r="N102" s="5" t="str">
        <f>HYPERLINK("https://www.google.com/maps/search/?api=1&amp;query=9519 80th Street, Ozone Park, NY 11416", "OPEN MAP")</f>
        <v>OPEN MAP</v>
      </c>
      <c r="O102" s="1" t="s">
        <v>975</v>
      </c>
      <c r="P102" s="1" t="s">
        <v>263</v>
      </c>
      <c r="Q102" s="1" t="s">
        <v>43</v>
      </c>
      <c r="R102" s="1">
        <v>11416</v>
      </c>
      <c r="S102" s="6" t="s">
        <v>976</v>
      </c>
      <c r="T102" s="7">
        <v>572028.88</v>
      </c>
      <c r="U102" s="8">
        <v>43438</v>
      </c>
      <c r="V102" s="8"/>
      <c r="W102" s="7"/>
      <c r="X102" s="8"/>
      <c r="Y102" s="7"/>
      <c r="Z102" s="1"/>
      <c r="AA102" s="1" t="s">
        <v>45</v>
      </c>
      <c r="AB102" s="1" t="s">
        <v>46</v>
      </c>
      <c r="AC102" s="1" t="s">
        <v>47</v>
      </c>
      <c r="AD102" s="1" t="s">
        <v>977</v>
      </c>
      <c r="AE102" s="1"/>
    </row>
    <row r="103" spans="1:31" x14ac:dyDescent="0.2">
      <c r="A103" s="9" t="s">
        <v>31</v>
      </c>
      <c r="B103" s="9"/>
      <c r="C103" s="10">
        <v>45905</v>
      </c>
      <c r="D103" s="9" t="s">
        <v>49</v>
      </c>
      <c r="E103" s="9"/>
      <c r="F103" s="11" t="s">
        <v>978</v>
      </c>
      <c r="G103" s="9">
        <v>2020</v>
      </c>
      <c r="H103" s="9" t="s">
        <v>979</v>
      </c>
      <c r="I103" s="9" t="s">
        <v>980</v>
      </c>
      <c r="J103" s="9" t="s">
        <v>981</v>
      </c>
      <c r="K103" s="9" t="s">
        <v>981</v>
      </c>
      <c r="L103" s="9"/>
      <c r="M103" s="9" t="s">
        <v>982</v>
      </c>
      <c r="N103" s="12" t="str">
        <f>HYPERLINK("https://www.google.com/maps/search/?api=1&amp;query=177-02 106th Road, Jamaica, NY 11433", "OPEN MAP")</f>
        <v>OPEN MAP</v>
      </c>
      <c r="O103" s="9" t="s">
        <v>983</v>
      </c>
      <c r="P103" s="9" t="s">
        <v>42</v>
      </c>
      <c r="Q103" s="9" t="s">
        <v>43</v>
      </c>
      <c r="R103" s="9">
        <v>11433</v>
      </c>
      <c r="S103" s="13" t="s">
        <v>984</v>
      </c>
      <c r="T103" s="14">
        <v>694162.46</v>
      </c>
      <c r="U103" s="15">
        <v>45079</v>
      </c>
      <c r="V103" s="15"/>
      <c r="W103" s="14"/>
      <c r="X103" s="15"/>
      <c r="Y103" s="14"/>
      <c r="Z103" s="9" t="s">
        <v>985</v>
      </c>
      <c r="AA103" s="9" t="s">
        <v>986</v>
      </c>
      <c r="AB103" s="9" t="s">
        <v>987</v>
      </c>
      <c r="AC103" s="9"/>
      <c r="AD103" s="9" t="s">
        <v>988</v>
      </c>
      <c r="AE103" s="9"/>
    </row>
    <row r="104" spans="1:31" x14ac:dyDescent="0.2">
      <c r="A104" s="1" t="s">
        <v>31</v>
      </c>
      <c r="B104" s="1"/>
      <c r="C104" s="3">
        <v>45905</v>
      </c>
      <c r="D104" s="1" t="s">
        <v>49</v>
      </c>
      <c r="E104" s="1"/>
      <c r="F104" s="4" t="s">
        <v>989</v>
      </c>
      <c r="G104" s="1">
        <v>2018</v>
      </c>
      <c r="H104" s="1" t="s">
        <v>990</v>
      </c>
      <c r="I104" s="1" t="s">
        <v>991</v>
      </c>
      <c r="J104" s="1" t="s">
        <v>992</v>
      </c>
      <c r="K104" s="1" t="s">
        <v>992</v>
      </c>
      <c r="L104" s="1"/>
      <c r="M104" s="1" t="s">
        <v>993</v>
      </c>
      <c r="N104" s="5" t="str">
        <f>HYPERLINK("https://www.google.com/maps/search/?api=1&amp;query=11612 207TH STREET, CAMBRIA HEIGHTS, NY 11411", "OPEN MAP")</f>
        <v>OPEN MAP</v>
      </c>
      <c r="O104" s="1" t="s">
        <v>994</v>
      </c>
      <c r="P104" s="1" t="s">
        <v>274</v>
      </c>
      <c r="Q104" s="1" t="s">
        <v>43</v>
      </c>
      <c r="R104" s="1">
        <v>11411</v>
      </c>
      <c r="S104" s="6" t="s">
        <v>995</v>
      </c>
      <c r="T104" s="7"/>
      <c r="U104" s="8">
        <v>43601</v>
      </c>
      <c r="V104" s="8"/>
      <c r="W104" s="7"/>
      <c r="X104" s="8"/>
      <c r="Y104" s="7"/>
      <c r="Z104" s="1"/>
      <c r="AA104" s="1" t="s">
        <v>60</v>
      </c>
      <c r="AB104" s="1" t="s">
        <v>61</v>
      </c>
      <c r="AC104" s="1"/>
      <c r="AD104" s="1" t="s">
        <v>996</v>
      </c>
      <c r="AE104" s="1"/>
    </row>
    <row r="105" spans="1:31" x14ac:dyDescent="0.2">
      <c r="A105" s="9" t="s">
        <v>31</v>
      </c>
      <c r="B105" s="9"/>
      <c r="C105" s="10">
        <v>45905</v>
      </c>
      <c r="D105" s="9" t="s">
        <v>49</v>
      </c>
      <c r="E105" s="9"/>
      <c r="F105" s="11" t="s">
        <v>997</v>
      </c>
      <c r="G105" s="9">
        <v>2024</v>
      </c>
      <c r="H105" s="9" t="s">
        <v>998</v>
      </c>
      <c r="I105" s="9" t="s">
        <v>999</v>
      </c>
      <c r="J105" s="9" t="s">
        <v>1000</v>
      </c>
      <c r="K105" s="9" t="s">
        <v>1000</v>
      </c>
      <c r="L105" s="9"/>
      <c r="M105" s="9" t="s">
        <v>1001</v>
      </c>
      <c r="N105" s="12" t="str">
        <f>HYPERLINK("https://www.google.com/maps/search/?api=1&amp;query=40-10 Rockaway Beach Boulevard, Rockaway Beach, NY 11691", "OPEN MAP")</f>
        <v>OPEN MAP</v>
      </c>
      <c r="O105" s="9" t="s">
        <v>1002</v>
      </c>
      <c r="P105" s="9" t="s">
        <v>1003</v>
      </c>
      <c r="Q105" s="9" t="s">
        <v>43</v>
      </c>
      <c r="R105" s="9">
        <v>11691</v>
      </c>
      <c r="S105" s="13" t="s">
        <v>1004</v>
      </c>
      <c r="T105" s="14">
        <v>220480.4</v>
      </c>
      <c r="U105" s="15">
        <v>45838</v>
      </c>
      <c r="V105" s="15"/>
      <c r="W105" s="14"/>
      <c r="X105" s="15"/>
      <c r="Y105" s="14"/>
      <c r="Z105" s="9"/>
      <c r="AA105" s="9" t="s">
        <v>71</v>
      </c>
      <c r="AB105" s="9" t="s">
        <v>72</v>
      </c>
      <c r="AC105" s="9"/>
      <c r="AD105" s="9" t="s">
        <v>1005</v>
      </c>
      <c r="AE105" s="9"/>
    </row>
    <row r="106" spans="1:31" x14ac:dyDescent="0.2">
      <c r="A106" s="1" t="s">
        <v>31</v>
      </c>
      <c r="B106" s="1"/>
      <c r="C106" s="3">
        <v>45905</v>
      </c>
      <c r="D106" s="1" t="s">
        <v>49</v>
      </c>
      <c r="E106" s="1"/>
      <c r="F106" s="4" t="s">
        <v>1006</v>
      </c>
      <c r="G106" s="1">
        <v>2009</v>
      </c>
      <c r="H106" s="1" t="s">
        <v>1007</v>
      </c>
      <c r="I106" s="1" t="s">
        <v>1008</v>
      </c>
      <c r="J106" s="1" t="s">
        <v>1009</v>
      </c>
      <c r="K106" s="1" t="s">
        <v>1009</v>
      </c>
      <c r="L106" s="1" t="s">
        <v>1010</v>
      </c>
      <c r="M106" s="1" t="s">
        <v>1011</v>
      </c>
      <c r="N106" s="5" t="str">
        <f>HYPERLINK("https://www.google.com/maps/search/?api=1&amp;query=1451 31st Avenue, Astoria, NY 11106", "OPEN MAP")</f>
        <v>OPEN MAP</v>
      </c>
      <c r="O106" s="1" t="s">
        <v>1012</v>
      </c>
      <c r="P106" s="1" t="s">
        <v>1013</v>
      </c>
      <c r="Q106" s="1" t="s">
        <v>43</v>
      </c>
      <c r="R106" s="1">
        <v>11106</v>
      </c>
      <c r="S106" s="6" t="s">
        <v>1014</v>
      </c>
      <c r="T106" s="7">
        <v>568310.79</v>
      </c>
      <c r="U106" s="8">
        <v>40361</v>
      </c>
      <c r="V106" s="8"/>
      <c r="W106" s="7"/>
      <c r="X106" s="8"/>
      <c r="Y106" s="7"/>
      <c r="Z106" s="1" t="s">
        <v>867</v>
      </c>
      <c r="AA106" s="1" t="s">
        <v>868</v>
      </c>
      <c r="AB106" s="1" t="s">
        <v>1015</v>
      </c>
      <c r="AC106" s="1" t="s">
        <v>870</v>
      </c>
      <c r="AD106" s="1" t="s">
        <v>1016</v>
      </c>
      <c r="AE106" s="1"/>
    </row>
    <row r="107" spans="1:31" x14ac:dyDescent="0.2">
      <c r="A107" s="9" t="s">
        <v>31</v>
      </c>
      <c r="B107" s="9"/>
      <c r="C107" s="10">
        <v>45905</v>
      </c>
      <c r="D107" s="9" t="s">
        <v>49</v>
      </c>
      <c r="E107" s="9"/>
      <c r="F107" s="11" t="s">
        <v>1017</v>
      </c>
      <c r="G107" s="9">
        <v>2015</v>
      </c>
      <c r="H107" s="9" t="s">
        <v>1018</v>
      </c>
      <c r="I107" s="9" t="s">
        <v>1019</v>
      </c>
      <c r="J107" s="9" t="s">
        <v>1020</v>
      </c>
      <c r="K107" s="9" t="s">
        <v>1020</v>
      </c>
      <c r="L107" s="9"/>
      <c r="M107" s="9" t="s">
        <v>1021</v>
      </c>
      <c r="N107" s="12" t="str">
        <f>HYPERLINK("https://www.google.com/maps/search/?api=1&amp;query=107-18 108TH ST, SOUTH RICHMOND HILL, NY 11419", "OPEN MAP")</f>
        <v>OPEN MAP</v>
      </c>
      <c r="O107" s="9" t="s">
        <v>1022</v>
      </c>
      <c r="P107" s="9" t="s">
        <v>736</v>
      </c>
      <c r="Q107" s="9" t="s">
        <v>43</v>
      </c>
      <c r="R107" s="9">
        <v>11419</v>
      </c>
      <c r="S107" s="13" t="s">
        <v>1023</v>
      </c>
      <c r="T107" s="14"/>
      <c r="U107" s="15">
        <v>42821</v>
      </c>
      <c r="V107" s="15"/>
      <c r="W107" s="14"/>
      <c r="X107" s="15"/>
      <c r="Y107" s="14"/>
      <c r="Z107" s="9"/>
      <c r="AA107" s="9" t="s">
        <v>1024</v>
      </c>
      <c r="AB107" s="9" t="s">
        <v>61</v>
      </c>
      <c r="AC107" s="9"/>
      <c r="AD107" s="9" t="s">
        <v>1025</v>
      </c>
      <c r="AE107" s="9"/>
    </row>
    <row r="108" spans="1:31" x14ac:dyDescent="0.2">
      <c r="A108" s="1" t="s">
        <v>31</v>
      </c>
      <c r="B108" s="1"/>
      <c r="C108" s="3">
        <v>45912</v>
      </c>
      <c r="D108" s="1" t="s">
        <v>49</v>
      </c>
      <c r="E108" s="1"/>
      <c r="F108" s="4" t="s">
        <v>1026</v>
      </c>
      <c r="G108" s="1">
        <v>2021</v>
      </c>
      <c r="H108" s="1" t="s">
        <v>1027</v>
      </c>
      <c r="I108" s="1" t="s">
        <v>1028</v>
      </c>
      <c r="J108" s="1" t="s">
        <v>1029</v>
      </c>
      <c r="K108" s="1" t="s">
        <v>1030</v>
      </c>
      <c r="L108" s="1"/>
      <c r="M108" s="1" t="s">
        <v>1031</v>
      </c>
      <c r="N108" s="5" t="str">
        <f>HYPERLINK("https://www.google.com/maps/search/?api=1&amp;query=142-12 222nd Street, Laurelton, NY 11413", "OPEN MAP")</f>
        <v>OPEN MAP</v>
      </c>
      <c r="O108" s="1" t="s">
        <v>1032</v>
      </c>
      <c r="P108" s="1" t="s">
        <v>1033</v>
      </c>
      <c r="Q108" s="1" t="s">
        <v>43</v>
      </c>
      <c r="R108" s="1">
        <v>11413</v>
      </c>
      <c r="S108" s="6" t="s">
        <v>1034</v>
      </c>
      <c r="T108" s="7"/>
      <c r="U108" s="8"/>
      <c r="V108" s="8">
        <v>42180</v>
      </c>
      <c r="W108" s="7">
        <v>825000</v>
      </c>
      <c r="X108" s="8"/>
      <c r="Y108" s="7"/>
      <c r="Z108" s="1" t="s">
        <v>1035</v>
      </c>
      <c r="AA108" s="1" t="s">
        <v>91</v>
      </c>
      <c r="AB108" s="1" t="s">
        <v>518</v>
      </c>
      <c r="AC108" s="1" t="s">
        <v>519</v>
      </c>
      <c r="AD108" s="1"/>
      <c r="AE108" s="1"/>
    </row>
    <row r="109" spans="1:31" x14ac:dyDescent="0.2">
      <c r="A109" s="9" t="s">
        <v>31</v>
      </c>
      <c r="B109" s="9"/>
      <c r="C109" s="10">
        <v>45912</v>
      </c>
      <c r="D109" s="9" t="s">
        <v>49</v>
      </c>
      <c r="E109" s="9"/>
      <c r="F109" s="11" t="s">
        <v>1036</v>
      </c>
      <c r="G109" s="9">
        <v>2014</v>
      </c>
      <c r="H109" s="9" t="s">
        <v>1037</v>
      </c>
      <c r="I109" s="9" t="s">
        <v>233</v>
      </c>
      <c r="J109" s="9" t="s">
        <v>1038</v>
      </c>
      <c r="K109" s="9" t="s">
        <v>1039</v>
      </c>
      <c r="L109" s="9"/>
      <c r="M109" s="9" t="s">
        <v>1040</v>
      </c>
      <c r="N109" s="12" t="str">
        <f>HYPERLINK("https://www.google.com/maps/search/?api=1&amp;query=111 -13 39TH AVE, CORONA, NY 11368", "OPEN MAP")</f>
        <v>OPEN MAP</v>
      </c>
      <c r="O109" s="9" t="s">
        <v>1041</v>
      </c>
      <c r="P109" s="9" t="s">
        <v>1042</v>
      </c>
      <c r="Q109" s="9" t="s">
        <v>43</v>
      </c>
      <c r="R109" s="9">
        <v>11368</v>
      </c>
      <c r="S109" s="13" t="s">
        <v>1043</v>
      </c>
      <c r="T109" s="14">
        <v>585000</v>
      </c>
      <c r="U109" s="15"/>
      <c r="V109" s="15">
        <v>39093</v>
      </c>
      <c r="W109" s="14">
        <v>585000</v>
      </c>
      <c r="X109" s="15"/>
      <c r="Y109" s="14"/>
      <c r="Z109" s="9" t="s">
        <v>1044</v>
      </c>
      <c r="AA109" s="9" t="s">
        <v>1045</v>
      </c>
      <c r="AB109" s="9" t="s">
        <v>1046</v>
      </c>
      <c r="AC109" s="9" t="s">
        <v>1047</v>
      </c>
      <c r="AD109" s="9"/>
      <c r="AE109" s="9"/>
    </row>
    <row r="110" spans="1:31" x14ac:dyDescent="0.2">
      <c r="A110" s="1" t="s">
        <v>31</v>
      </c>
      <c r="B110" s="1"/>
      <c r="C110" s="3">
        <v>45912</v>
      </c>
      <c r="D110" s="1" t="s">
        <v>32</v>
      </c>
      <c r="E110" s="1"/>
      <c r="F110" s="4" t="s">
        <v>1048</v>
      </c>
      <c r="G110" s="1">
        <v>2021</v>
      </c>
      <c r="H110" s="1" t="s">
        <v>1049</v>
      </c>
      <c r="I110" s="1" t="s">
        <v>1050</v>
      </c>
      <c r="J110" s="1" t="s">
        <v>1051</v>
      </c>
      <c r="K110" s="1" t="s">
        <v>1052</v>
      </c>
      <c r="L110" s="1"/>
      <c r="M110" s="1" t="s">
        <v>1053</v>
      </c>
      <c r="N110" s="5" t="str">
        <f>HYPERLINK("https://www.google.com/maps/search/?api=1&amp;query=25-15 Ericsson Street, East Elmhurst, New York", "OPEN MAP")</f>
        <v>OPEN MAP</v>
      </c>
      <c r="O110" s="1" t="s">
        <v>1054</v>
      </c>
      <c r="P110" s="1" t="s">
        <v>559</v>
      </c>
      <c r="Q110" s="1" t="s">
        <v>251</v>
      </c>
      <c r="R110" s="1">
        <v>11234</v>
      </c>
      <c r="S110" s="6" t="s">
        <v>1055</v>
      </c>
      <c r="T110" s="7"/>
      <c r="U110" s="8"/>
      <c r="V110" s="8"/>
      <c r="W110" s="7"/>
      <c r="X110" s="8"/>
      <c r="Y110" s="7"/>
      <c r="Z110" s="1" t="s">
        <v>1056</v>
      </c>
      <c r="AA110" s="1"/>
      <c r="AB110" s="1" t="s">
        <v>1057</v>
      </c>
      <c r="AC110" s="1" t="s">
        <v>1058</v>
      </c>
      <c r="AD110" s="1"/>
      <c r="AE110" s="1"/>
    </row>
    <row r="111" spans="1:31" x14ac:dyDescent="0.2">
      <c r="A111" s="9" t="s">
        <v>31</v>
      </c>
      <c r="B111" s="9"/>
      <c r="C111" s="10">
        <v>45912</v>
      </c>
      <c r="D111" s="9" t="s">
        <v>49</v>
      </c>
      <c r="E111" s="9" t="s">
        <v>33</v>
      </c>
      <c r="F111" s="11" t="s">
        <v>1059</v>
      </c>
      <c r="G111" s="9">
        <v>2023</v>
      </c>
      <c r="H111" s="9" t="s">
        <v>1060</v>
      </c>
      <c r="I111" s="9" t="s">
        <v>1061</v>
      </c>
      <c r="J111" s="9" t="s">
        <v>1062</v>
      </c>
      <c r="K111" s="9" t="s">
        <v>1062</v>
      </c>
      <c r="L111" s="9"/>
      <c r="M111" s="9" t="s">
        <v>1063</v>
      </c>
      <c r="N111" s="12" t="str">
        <f>HYPERLINK("https://www.google.com/maps/search/?api=1&amp;query=177-22 119TH ROAD, ST. ALBANS, NY 11412", "OPEN MAP")</f>
        <v>OPEN MAP</v>
      </c>
      <c r="O111" s="9" t="s">
        <v>1064</v>
      </c>
      <c r="P111" s="9" t="s">
        <v>1065</v>
      </c>
      <c r="Q111" s="9" t="s">
        <v>43</v>
      </c>
      <c r="R111" s="9">
        <v>11412</v>
      </c>
      <c r="S111" s="13" t="s">
        <v>1066</v>
      </c>
      <c r="T111" s="14">
        <v>319183.15000000002</v>
      </c>
      <c r="U111" s="15" t="s">
        <v>1067</v>
      </c>
      <c r="V111" s="15"/>
      <c r="W111" s="14"/>
      <c r="X111" s="15"/>
      <c r="Y111" s="14"/>
      <c r="Z111" s="9" t="s">
        <v>779</v>
      </c>
      <c r="AA111" s="9" t="s">
        <v>1068</v>
      </c>
      <c r="AB111" s="9" t="s">
        <v>1069</v>
      </c>
      <c r="AC111" s="9"/>
      <c r="AD111" s="9" t="s">
        <v>1070</v>
      </c>
      <c r="AE111" s="9"/>
    </row>
    <row r="112" spans="1:31" x14ac:dyDescent="0.2">
      <c r="A112" s="1" t="s">
        <v>115</v>
      </c>
      <c r="B112" s="1"/>
      <c r="C112" s="3">
        <v>45912</v>
      </c>
      <c r="D112" s="1" t="s">
        <v>49</v>
      </c>
      <c r="E112" s="1"/>
      <c r="F112" s="4" t="s">
        <v>1071</v>
      </c>
      <c r="G112" s="1">
        <v>2014</v>
      </c>
      <c r="H112" s="1" t="s">
        <v>1072</v>
      </c>
      <c r="I112" s="1" t="s">
        <v>1073</v>
      </c>
      <c r="J112" s="1" t="s">
        <v>1074</v>
      </c>
      <c r="K112" s="1" t="s">
        <v>1075</v>
      </c>
      <c r="L112" s="1" t="s">
        <v>1076</v>
      </c>
      <c r="M112" s="1" t="s">
        <v>1077</v>
      </c>
      <c r="N112" s="5" t="str">
        <f>HYPERLINK("https://www.google.com/maps/search/?api=1&amp;query=115-43 124th Street, South Ozone Park, NY 11420", "OPEN MAP")</f>
        <v>OPEN MAP</v>
      </c>
      <c r="O112" s="1" t="s">
        <v>1078</v>
      </c>
      <c r="P112" s="1" t="s">
        <v>237</v>
      </c>
      <c r="Q112" s="1" t="s">
        <v>43</v>
      </c>
      <c r="R112" s="1">
        <v>11420</v>
      </c>
      <c r="S112" s="6" t="s">
        <v>1079</v>
      </c>
      <c r="T112" s="7">
        <v>557808.86</v>
      </c>
      <c r="U112" s="8">
        <v>43125</v>
      </c>
      <c r="V112" s="8"/>
      <c r="W112" s="7"/>
      <c r="X112" s="8"/>
      <c r="Y112" s="7"/>
      <c r="Z112" s="1"/>
      <c r="AA112" s="1" t="s">
        <v>140</v>
      </c>
      <c r="AB112" s="1" t="s">
        <v>309</v>
      </c>
      <c r="AC112" s="1"/>
      <c r="AD112" s="1" t="s">
        <v>48</v>
      </c>
      <c r="AE112" s="1"/>
    </row>
    <row r="113" spans="1:31" x14ac:dyDescent="0.2">
      <c r="A113" s="9" t="s">
        <v>31</v>
      </c>
      <c r="B113" s="9"/>
      <c r="C113" s="10">
        <v>45912</v>
      </c>
      <c r="D113" s="9" t="s">
        <v>49</v>
      </c>
      <c r="E113" s="9"/>
      <c r="F113" s="11" t="s">
        <v>1080</v>
      </c>
      <c r="G113" s="9">
        <v>2009</v>
      </c>
      <c r="H113" s="9" t="s">
        <v>1081</v>
      </c>
      <c r="I113" s="9" t="s">
        <v>912</v>
      </c>
      <c r="J113" s="9" t="s">
        <v>1082</v>
      </c>
      <c r="K113" s="9" t="s">
        <v>1082</v>
      </c>
      <c r="L113" s="9"/>
      <c r="M113" s="9" t="s">
        <v>1083</v>
      </c>
      <c r="N113" s="12" t="str">
        <f>HYPERLINK("https://www.google.com/maps/search/?api=1&amp;query=30-50 86th Street a/k/a 3050 86th Street, East Elmhurst, New York 11369", "OPEN MAP")</f>
        <v>OPEN MAP</v>
      </c>
      <c r="O113" s="9" t="s">
        <v>1084</v>
      </c>
      <c r="P113" s="9" t="s">
        <v>559</v>
      </c>
      <c r="Q113" s="9" t="s">
        <v>251</v>
      </c>
      <c r="R113" s="9">
        <v>11369</v>
      </c>
      <c r="S113" s="13" t="s">
        <v>1085</v>
      </c>
      <c r="T113" s="14">
        <v>862491.7</v>
      </c>
      <c r="U113" s="15">
        <v>43200</v>
      </c>
      <c r="V113" s="15"/>
      <c r="W113" s="14"/>
      <c r="X113" s="15"/>
      <c r="Y113" s="14"/>
      <c r="Z113" s="9"/>
      <c r="AA113" s="9" t="s">
        <v>415</v>
      </c>
      <c r="AB113" s="9" t="s">
        <v>416</v>
      </c>
      <c r="AC113" s="9"/>
      <c r="AD113" s="9" t="s">
        <v>1086</v>
      </c>
      <c r="AE113" s="9"/>
    </row>
    <row r="114" spans="1:31" x14ac:dyDescent="0.2">
      <c r="A114" s="1" t="s">
        <v>31</v>
      </c>
      <c r="B114" s="1"/>
      <c r="C114" s="3">
        <v>45912</v>
      </c>
      <c r="D114" s="1" t="s">
        <v>49</v>
      </c>
      <c r="E114" s="1"/>
      <c r="F114" s="4" t="s">
        <v>1087</v>
      </c>
      <c r="G114" s="1">
        <v>2022</v>
      </c>
      <c r="H114" s="1" t="s">
        <v>1088</v>
      </c>
      <c r="I114" s="1" t="s">
        <v>1089</v>
      </c>
      <c r="J114" s="1" t="s">
        <v>1090</v>
      </c>
      <c r="K114" s="1" t="s">
        <v>1090</v>
      </c>
      <c r="L114" s="1"/>
      <c r="M114" s="1" t="s">
        <v>1091</v>
      </c>
      <c r="N114" s="5" t="str">
        <f>HYPERLINK("https://www.google.com/maps/search/?api=1&amp;query=167-06 111TH AVENUE, JAMAICA, NY 11433", "OPEN MAP")</f>
        <v>OPEN MAP</v>
      </c>
      <c r="O114" s="1" t="s">
        <v>1092</v>
      </c>
      <c r="P114" s="1" t="s">
        <v>274</v>
      </c>
      <c r="Q114" s="1" t="s">
        <v>251</v>
      </c>
      <c r="R114" s="1">
        <v>11433</v>
      </c>
      <c r="S114" s="6" t="s">
        <v>1093</v>
      </c>
      <c r="T114" s="7"/>
      <c r="U114" s="8">
        <v>45775</v>
      </c>
      <c r="V114" s="8"/>
      <c r="W114" s="7"/>
      <c r="X114" s="8"/>
      <c r="Y114" s="7"/>
      <c r="Z114" s="1"/>
      <c r="AA114" s="1"/>
      <c r="AB114" s="1"/>
      <c r="AC114" s="1"/>
      <c r="AD114" s="1"/>
      <c r="AE114" s="1"/>
    </row>
    <row r="115" spans="1:31" x14ac:dyDescent="0.2">
      <c r="A115" s="9" t="s">
        <v>31</v>
      </c>
      <c r="B115" s="9"/>
      <c r="C115" s="10">
        <v>45912</v>
      </c>
      <c r="D115" s="9" t="s">
        <v>49</v>
      </c>
      <c r="E115" s="9" t="s">
        <v>33</v>
      </c>
      <c r="F115" s="11" t="s">
        <v>1094</v>
      </c>
      <c r="G115" s="9">
        <v>2017</v>
      </c>
      <c r="H115" s="9" t="s">
        <v>1095</v>
      </c>
      <c r="I115" s="9" t="s">
        <v>912</v>
      </c>
      <c r="J115" s="9" t="s">
        <v>1096</v>
      </c>
      <c r="K115" s="9" t="s">
        <v>1097</v>
      </c>
      <c r="L115" s="9" t="s">
        <v>1098</v>
      </c>
      <c r="M115" s="9" t="s">
        <v>1099</v>
      </c>
      <c r="N115" s="12" t="str">
        <f>HYPERLINK("https://www.google.com/maps/search/?api=1&amp;query=32-39 45th Street, Astoria, NY 11103", "OPEN MAP")</f>
        <v>OPEN MAP</v>
      </c>
      <c r="O115" s="9" t="s">
        <v>1100</v>
      </c>
      <c r="P115" s="9" t="s">
        <v>1013</v>
      </c>
      <c r="Q115" s="9" t="s">
        <v>43</v>
      </c>
      <c r="R115" s="9">
        <v>11103</v>
      </c>
      <c r="S115" s="13" t="s">
        <v>1101</v>
      </c>
      <c r="T115" s="14">
        <v>739963.15</v>
      </c>
      <c r="U115" s="15">
        <v>43811</v>
      </c>
      <c r="V115" s="15"/>
      <c r="W115" s="14"/>
      <c r="X115" s="15"/>
      <c r="Y115" s="14"/>
      <c r="Z115" s="9"/>
      <c r="AA115" s="9" t="s">
        <v>426</v>
      </c>
      <c r="AB115" s="9" t="s">
        <v>601</v>
      </c>
      <c r="AC115" s="9"/>
      <c r="AD115" s="9" t="s">
        <v>1102</v>
      </c>
      <c r="AE115" s="9"/>
    </row>
    <row r="116" spans="1:31" x14ac:dyDescent="0.2">
      <c r="A116" s="1" t="s">
        <v>31</v>
      </c>
      <c r="B116" s="1"/>
      <c r="C116" s="3">
        <v>45912</v>
      </c>
      <c r="D116" s="1" t="s">
        <v>32</v>
      </c>
      <c r="E116" s="1"/>
      <c r="F116" s="4" t="s">
        <v>1103</v>
      </c>
      <c r="G116" s="1">
        <v>2023</v>
      </c>
      <c r="H116" s="1" t="s">
        <v>1104</v>
      </c>
      <c r="I116" s="1" t="s">
        <v>1105</v>
      </c>
      <c r="J116" s="1" t="s">
        <v>1106</v>
      </c>
      <c r="K116" s="1" t="s">
        <v>1106</v>
      </c>
      <c r="L116" s="1" t="s">
        <v>1107</v>
      </c>
      <c r="M116" s="1" t="s">
        <v>1108</v>
      </c>
      <c r="N116" s="5" t="str">
        <f>HYPERLINK("https://www.google.com/maps/search/?api=1&amp;query=171 Beach 91st Street Rockaway Beach, NY 11693", "OPEN MAP")</f>
        <v>OPEN MAP</v>
      </c>
      <c r="O116" s="1" t="s">
        <v>1109</v>
      </c>
      <c r="P116" s="1" t="s">
        <v>1003</v>
      </c>
      <c r="Q116" s="1" t="s">
        <v>43</v>
      </c>
      <c r="R116" s="1">
        <v>11693</v>
      </c>
      <c r="S116" s="6" t="s">
        <v>1110</v>
      </c>
      <c r="T116" s="7"/>
      <c r="U116" s="8"/>
      <c r="V116" s="8">
        <v>39113</v>
      </c>
      <c r="W116" s="7">
        <v>560000</v>
      </c>
      <c r="X116" s="8">
        <v>40206</v>
      </c>
      <c r="Y116" s="7">
        <v>628475.68999999994</v>
      </c>
      <c r="Z116" s="1" t="s">
        <v>1111</v>
      </c>
      <c r="AA116" s="1" t="s">
        <v>1112</v>
      </c>
      <c r="AB116" s="1" t="s">
        <v>1113</v>
      </c>
      <c r="AC116" s="1" t="s">
        <v>1114</v>
      </c>
      <c r="AD116" s="1"/>
      <c r="AE116" s="1"/>
    </row>
    <row r="117" spans="1:31" x14ac:dyDescent="0.2">
      <c r="A117" s="9" t="s">
        <v>31</v>
      </c>
      <c r="B117" s="9"/>
      <c r="C117" s="10">
        <v>45912</v>
      </c>
      <c r="D117" s="9" t="s">
        <v>49</v>
      </c>
      <c r="E117" s="9"/>
      <c r="F117" s="11" t="s">
        <v>1115</v>
      </c>
      <c r="G117" s="9">
        <v>2016</v>
      </c>
      <c r="H117" s="9" t="s">
        <v>1116</v>
      </c>
      <c r="I117" s="9" t="s">
        <v>233</v>
      </c>
      <c r="J117" s="9" t="s">
        <v>1117</v>
      </c>
      <c r="K117" s="9" t="s">
        <v>1117</v>
      </c>
      <c r="L117" s="9"/>
      <c r="M117" s="9" t="s">
        <v>1118</v>
      </c>
      <c r="N117" s="12" t="str">
        <f>HYPERLINK("https://www.google.com/maps/search/?api=1&amp;query=61-25 165th Street, Fresh Meadows a/k/a Flushing, NY 11365", "OPEN MAP")</f>
        <v>OPEN MAP</v>
      </c>
      <c r="O117" s="9" t="s">
        <v>1119</v>
      </c>
      <c r="P117" s="9" t="s">
        <v>1120</v>
      </c>
      <c r="Q117" s="9" t="s">
        <v>43</v>
      </c>
      <c r="R117" s="9">
        <v>11365</v>
      </c>
      <c r="S117" s="13" t="s">
        <v>1121</v>
      </c>
      <c r="T117" s="14">
        <v>630713.07999999996</v>
      </c>
      <c r="U117" s="15">
        <v>45307</v>
      </c>
      <c r="V117" s="15"/>
      <c r="W117" s="14"/>
      <c r="X117" s="15"/>
      <c r="Y117" s="14"/>
      <c r="Z117" s="9"/>
      <c r="AA117" s="9" t="s">
        <v>1122</v>
      </c>
      <c r="AB117" s="9" t="s">
        <v>1123</v>
      </c>
      <c r="AC117" s="9"/>
      <c r="AD117" s="9" t="s">
        <v>689</v>
      </c>
      <c r="AE117" s="9"/>
    </row>
    <row r="118" spans="1:31" x14ac:dyDescent="0.2">
      <c r="A118" s="1" t="s">
        <v>31</v>
      </c>
      <c r="B118" s="1"/>
      <c r="C118" s="3">
        <v>45912</v>
      </c>
      <c r="D118" s="1" t="s">
        <v>49</v>
      </c>
      <c r="E118" s="1"/>
      <c r="F118" s="4" t="s">
        <v>1124</v>
      </c>
      <c r="G118" s="1">
        <v>2007</v>
      </c>
      <c r="H118" s="1" t="s">
        <v>1125</v>
      </c>
      <c r="I118" s="1" t="s">
        <v>1126</v>
      </c>
      <c r="J118" s="1" t="s">
        <v>1127</v>
      </c>
      <c r="K118" s="1" t="s">
        <v>1128</v>
      </c>
      <c r="L118" s="1" t="s">
        <v>1129</v>
      </c>
      <c r="M118" s="1" t="s">
        <v>1130</v>
      </c>
      <c r="N118" s="5" t="str">
        <f>HYPERLINK("https://www.google.com/maps/search/?api=1&amp;query=116-12 148th Street, Jamaica, NY 11436", "OPEN MAP")</f>
        <v>OPEN MAP</v>
      </c>
      <c r="O118" s="1" t="s">
        <v>1131</v>
      </c>
      <c r="P118" s="1" t="s">
        <v>42</v>
      </c>
      <c r="Q118" s="1" t="s">
        <v>43</v>
      </c>
      <c r="R118" s="1">
        <v>11436</v>
      </c>
      <c r="S118" s="6" t="s">
        <v>1132</v>
      </c>
      <c r="T118" s="7">
        <v>924796.06</v>
      </c>
      <c r="U118" s="8">
        <v>45573</v>
      </c>
      <c r="V118" s="8"/>
      <c r="W118" s="7"/>
      <c r="X118" s="8"/>
      <c r="Y118" s="7"/>
      <c r="Z118" s="1"/>
      <c r="AA118" s="1" t="s">
        <v>91</v>
      </c>
      <c r="AB118" s="1" t="s">
        <v>92</v>
      </c>
      <c r="AC118" s="1"/>
      <c r="AD118" s="1" t="s">
        <v>1133</v>
      </c>
      <c r="AE118" s="1"/>
    </row>
    <row r="119" spans="1:31" x14ac:dyDescent="0.2">
      <c r="A119" s="9" t="s">
        <v>31</v>
      </c>
      <c r="B119" s="9"/>
      <c r="C119" s="10">
        <v>45912</v>
      </c>
      <c r="D119" s="9" t="s">
        <v>49</v>
      </c>
      <c r="E119" s="9"/>
      <c r="F119" s="11" t="s">
        <v>1134</v>
      </c>
      <c r="G119" s="9">
        <v>2014</v>
      </c>
      <c r="H119" s="9" t="s">
        <v>1135</v>
      </c>
      <c r="I119" s="9" t="s">
        <v>1061</v>
      </c>
      <c r="J119" s="9" t="s">
        <v>1136</v>
      </c>
      <c r="K119" s="9" t="s">
        <v>1136</v>
      </c>
      <c r="L119" s="9"/>
      <c r="M119" s="9" t="s">
        <v>1137</v>
      </c>
      <c r="N119" s="12" t="str">
        <f>HYPERLINK("https://www.google.com/maps/search/?api=1&amp;query=20-17 43RD STREET, ASTORIA, NY 11105", "OPEN MAP")</f>
        <v>OPEN MAP</v>
      </c>
      <c r="O119" s="9" t="s">
        <v>1138</v>
      </c>
      <c r="P119" s="9" t="s">
        <v>1139</v>
      </c>
      <c r="Q119" s="9" t="s">
        <v>43</v>
      </c>
      <c r="R119" s="9">
        <v>11105</v>
      </c>
      <c r="S119" s="13"/>
      <c r="T119" s="14">
        <v>969792.59</v>
      </c>
      <c r="U119" s="15">
        <v>43294</v>
      </c>
      <c r="V119" s="15"/>
      <c r="W119" s="14"/>
      <c r="X119" s="15"/>
      <c r="Y119" s="14"/>
      <c r="Z119" s="9" t="s">
        <v>779</v>
      </c>
      <c r="AA119" s="9" t="s">
        <v>780</v>
      </c>
      <c r="AB119" s="9" t="s">
        <v>781</v>
      </c>
      <c r="AC119" s="9"/>
      <c r="AD119" s="9" t="s">
        <v>1140</v>
      </c>
      <c r="AE119" s="9"/>
    </row>
    <row r="120" spans="1:31" x14ac:dyDescent="0.2">
      <c r="A120" s="1" t="s">
        <v>31</v>
      </c>
      <c r="B120" s="1"/>
      <c r="C120" s="3">
        <v>45912</v>
      </c>
      <c r="D120" s="1" t="s">
        <v>32</v>
      </c>
      <c r="E120" s="1"/>
      <c r="F120" s="4" t="s">
        <v>1141</v>
      </c>
      <c r="G120" s="1">
        <v>2024</v>
      </c>
      <c r="H120" s="1" t="s">
        <v>1142</v>
      </c>
      <c r="I120" s="1" t="s">
        <v>1143</v>
      </c>
      <c r="J120" s="1" t="s">
        <v>1144</v>
      </c>
      <c r="K120" s="1" t="s">
        <v>1145</v>
      </c>
      <c r="L120" s="1"/>
      <c r="M120" s="1" t="s">
        <v>1146</v>
      </c>
      <c r="N120" s="5" t="str">
        <f>HYPERLINK("https://www.google.com/maps/search/?api=1&amp;query=44-25 54th Drive, Queens, New York", "OPEN MAP")</f>
        <v>OPEN MAP</v>
      </c>
      <c r="O120" s="1" t="s">
        <v>1147</v>
      </c>
      <c r="P120" s="1" t="s">
        <v>115</v>
      </c>
      <c r="Q120" s="1" t="s">
        <v>251</v>
      </c>
      <c r="R120" s="1"/>
      <c r="S120" s="6" t="s">
        <v>1148</v>
      </c>
      <c r="T120" s="7">
        <v>11812263.779999999</v>
      </c>
      <c r="U120" s="8">
        <v>45868</v>
      </c>
      <c r="V120" s="8"/>
      <c r="W120" s="7"/>
      <c r="X120" s="8"/>
      <c r="Y120" s="7"/>
      <c r="Z120" s="1" t="s">
        <v>1149</v>
      </c>
      <c r="AA120" s="1" t="s">
        <v>1150</v>
      </c>
      <c r="AB120" s="1" t="s">
        <v>1151</v>
      </c>
      <c r="AC120" s="1" t="s">
        <v>1152</v>
      </c>
      <c r="AD120" s="1" t="s">
        <v>1153</v>
      </c>
      <c r="AE120" s="1"/>
    </row>
    <row r="121" spans="1:31" x14ac:dyDescent="0.2">
      <c r="A121" s="9" t="s">
        <v>31</v>
      </c>
      <c r="B121" s="9"/>
      <c r="C121" s="10">
        <v>45912</v>
      </c>
      <c r="D121" s="9" t="s">
        <v>32</v>
      </c>
      <c r="E121" s="9"/>
      <c r="F121" s="11" t="s">
        <v>1154</v>
      </c>
      <c r="G121" s="9">
        <v>2019</v>
      </c>
      <c r="H121" s="9" t="s">
        <v>1155</v>
      </c>
      <c r="I121" s="9" t="s">
        <v>1156</v>
      </c>
      <c r="J121" s="9" t="s">
        <v>1157</v>
      </c>
      <c r="K121" s="9" t="s">
        <v>1157</v>
      </c>
      <c r="L121" s="9"/>
      <c r="M121" s="9" t="s">
        <v>1158</v>
      </c>
      <c r="N121" s="12" t="str">
        <f>HYPERLINK("https://www.google.com/maps/search/?api=1&amp;query=119-23 165th Street, Jamaica, NY 11434", "OPEN MAP")</f>
        <v>OPEN MAP</v>
      </c>
      <c r="O121" s="9" t="s">
        <v>1159</v>
      </c>
      <c r="P121" s="9" t="s">
        <v>42</v>
      </c>
      <c r="Q121" s="9" t="s">
        <v>43</v>
      </c>
      <c r="R121" s="9">
        <v>11434</v>
      </c>
      <c r="S121" s="13" t="s">
        <v>1160</v>
      </c>
      <c r="T121" s="14">
        <v>695232.65</v>
      </c>
      <c r="U121" s="15">
        <v>45373</v>
      </c>
      <c r="V121" s="15"/>
      <c r="W121" s="14"/>
      <c r="X121" s="15"/>
      <c r="Y121" s="14"/>
      <c r="Z121" s="9"/>
      <c r="AA121" s="9" t="s">
        <v>415</v>
      </c>
      <c r="AB121" s="9" t="s">
        <v>416</v>
      </c>
      <c r="AC121" s="9" t="s">
        <v>417</v>
      </c>
      <c r="AD121" s="9" t="s">
        <v>1161</v>
      </c>
      <c r="AE121" s="9"/>
    </row>
    <row r="122" spans="1:31" x14ac:dyDescent="0.2">
      <c r="A122" s="1" t="s">
        <v>31</v>
      </c>
      <c r="B122" s="1"/>
      <c r="C122" s="3">
        <v>45912</v>
      </c>
      <c r="D122" s="1" t="s">
        <v>49</v>
      </c>
      <c r="E122" s="1"/>
      <c r="F122" s="4" t="s">
        <v>1162</v>
      </c>
      <c r="G122" s="1">
        <v>2013</v>
      </c>
      <c r="H122" s="1" t="s">
        <v>1163</v>
      </c>
      <c r="I122" s="1" t="s">
        <v>1164</v>
      </c>
      <c r="J122" s="1" t="s">
        <v>1165</v>
      </c>
      <c r="K122" s="1" t="s">
        <v>1165</v>
      </c>
      <c r="L122" s="1"/>
      <c r="M122" s="1" t="s">
        <v>1166</v>
      </c>
      <c r="N122" s="5" t="str">
        <f>HYPERLINK("https://www.google.com/maps/search/?api=1&amp;query=114 -15 118Th Street, South Ozone Park, New York 11420", "OPEN MAP")</f>
        <v>OPEN MAP</v>
      </c>
      <c r="O122" s="1" t="s">
        <v>1167</v>
      </c>
      <c r="P122" s="1" t="s">
        <v>237</v>
      </c>
      <c r="Q122" s="1" t="s">
        <v>43</v>
      </c>
      <c r="R122" s="1">
        <v>11420</v>
      </c>
      <c r="S122" s="6" t="s">
        <v>1168</v>
      </c>
      <c r="T122" s="7">
        <v>980534.54</v>
      </c>
      <c r="U122" s="8">
        <v>44627</v>
      </c>
      <c r="V122" s="8"/>
      <c r="W122" s="7"/>
      <c r="X122" s="8"/>
      <c r="Y122" s="7"/>
      <c r="Z122" s="1" t="s">
        <v>359</v>
      </c>
      <c r="AA122" s="1" t="s">
        <v>318</v>
      </c>
      <c r="AB122" s="1" t="s">
        <v>1169</v>
      </c>
      <c r="AC122" s="1" t="s">
        <v>361</v>
      </c>
      <c r="AD122" s="1" t="s">
        <v>1170</v>
      </c>
      <c r="AE122" s="1"/>
    </row>
    <row r="123" spans="1:31" x14ac:dyDescent="0.2">
      <c r="A123" s="9" t="s">
        <v>31</v>
      </c>
      <c r="B123" s="9"/>
      <c r="C123" s="10">
        <v>45912</v>
      </c>
      <c r="D123" s="9" t="s">
        <v>49</v>
      </c>
      <c r="E123" s="9"/>
      <c r="F123" s="11" t="s">
        <v>1171</v>
      </c>
      <c r="G123" s="9">
        <v>2015</v>
      </c>
      <c r="H123" s="9" t="s">
        <v>1172</v>
      </c>
      <c r="I123" s="9" t="s">
        <v>1173</v>
      </c>
      <c r="J123" s="9" t="s">
        <v>1174</v>
      </c>
      <c r="K123" s="9" t="s">
        <v>1175</v>
      </c>
      <c r="L123" s="9" t="s">
        <v>1176</v>
      </c>
      <c r="M123" s="9" t="s">
        <v>1177</v>
      </c>
      <c r="N123" s="12" t="str">
        <f>HYPERLINK("https://www.google.com/maps/search/?api=1&amp;query=95-45 115th Street, Jamaica, NY 11419", "OPEN MAP")</f>
        <v>OPEN MAP</v>
      </c>
      <c r="O123" s="9" t="s">
        <v>1178</v>
      </c>
      <c r="P123" s="9" t="s">
        <v>42</v>
      </c>
      <c r="Q123" s="9" t="s">
        <v>43</v>
      </c>
      <c r="R123" s="9">
        <v>11419</v>
      </c>
      <c r="S123" s="13" t="s">
        <v>1179</v>
      </c>
      <c r="T123" s="14"/>
      <c r="U123" s="15"/>
      <c r="V123" s="15">
        <v>38835</v>
      </c>
      <c r="W123" s="14">
        <v>132000</v>
      </c>
      <c r="X123" s="15"/>
      <c r="Y123" s="14"/>
      <c r="Z123" s="9" t="s">
        <v>1180</v>
      </c>
      <c r="AA123" s="9" t="s">
        <v>1181</v>
      </c>
      <c r="AB123" s="9" t="s">
        <v>1182</v>
      </c>
      <c r="AC123" s="9" t="s">
        <v>1183</v>
      </c>
      <c r="AD123" s="9"/>
      <c r="AE123" s="9"/>
    </row>
    <row r="124" spans="1:31" x14ac:dyDescent="0.2">
      <c r="A124" s="1" t="s">
        <v>115</v>
      </c>
      <c r="B124" s="1"/>
      <c r="C124" s="3">
        <v>45912</v>
      </c>
      <c r="D124" s="1" t="s">
        <v>32</v>
      </c>
      <c r="E124" s="1"/>
      <c r="F124" s="4" t="s">
        <v>1184</v>
      </c>
      <c r="G124" s="1">
        <v>2023</v>
      </c>
      <c r="H124" s="1" t="s">
        <v>1185</v>
      </c>
      <c r="I124" s="1" t="s">
        <v>1186</v>
      </c>
      <c r="J124" s="1" t="s">
        <v>1187</v>
      </c>
      <c r="K124" s="1" t="s">
        <v>1188</v>
      </c>
      <c r="L124" s="1"/>
      <c r="M124" s="1" t="s">
        <v>1189</v>
      </c>
      <c r="N124" s="5" t="str">
        <f>HYPERLINK("https://www.google.com/maps/search/?api=1&amp;query=149-30 88th Avenue, Unit 6N, Howard Beach, New York 11414", "OPEN MAP")</f>
        <v>OPEN MAP</v>
      </c>
      <c r="O124" s="1" t="s">
        <v>1190</v>
      </c>
      <c r="P124" s="1" t="s">
        <v>617</v>
      </c>
      <c r="Q124" s="1" t="s">
        <v>251</v>
      </c>
      <c r="R124" s="1">
        <v>11414</v>
      </c>
      <c r="S124" s="6" t="s">
        <v>1191</v>
      </c>
      <c r="T124" s="7">
        <v>3771.84</v>
      </c>
      <c r="U124" s="8"/>
      <c r="V124" s="8">
        <v>25235</v>
      </c>
      <c r="W124" s="7"/>
      <c r="X124" s="8"/>
      <c r="Y124" s="7"/>
      <c r="Z124" s="1" t="s">
        <v>1192</v>
      </c>
      <c r="AA124" s="1" t="s">
        <v>1193</v>
      </c>
      <c r="AB124" s="1" t="s">
        <v>1194</v>
      </c>
      <c r="AC124" s="1" t="s">
        <v>1195</v>
      </c>
      <c r="AD124" s="1" t="s">
        <v>1192</v>
      </c>
      <c r="AE124" s="1"/>
    </row>
    <row r="125" spans="1:31" x14ac:dyDescent="0.2">
      <c r="A125" s="9" t="s">
        <v>31</v>
      </c>
      <c r="B125" s="9"/>
      <c r="C125" s="10">
        <v>45912</v>
      </c>
      <c r="D125" s="9" t="s">
        <v>49</v>
      </c>
      <c r="E125" s="9"/>
      <c r="F125" s="11" t="s">
        <v>1196</v>
      </c>
      <c r="G125" s="9">
        <v>2019</v>
      </c>
      <c r="H125" s="9" t="s">
        <v>1197</v>
      </c>
      <c r="I125" s="9" t="s">
        <v>1198</v>
      </c>
      <c r="J125" s="9" t="s">
        <v>1199</v>
      </c>
      <c r="K125" s="9" t="s">
        <v>1199</v>
      </c>
      <c r="L125" s="9" t="s">
        <v>1200</v>
      </c>
      <c r="M125" s="9" t="s">
        <v>1201</v>
      </c>
      <c r="N125" s="12" t="str">
        <f>HYPERLINK("https://www.google.com/maps/search/?api=1&amp;query=111-48 168th Street, Jamaica, NY 11433", "OPEN MAP")</f>
        <v>OPEN MAP</v>
      </c>
      <c r="O125" s="9" t="s">
        <v>1202</v>
      </c>
      <c r="P125" s="9" t="s">
        <v>42</v>
      </c>
      <c r="Q125" s="9" t="s">
        <v>43</v>
      </c>
      <c r="R125" s="9">
        <v>11433</v>
      </c>
      <c r="S125" s="13" t="s">
        <v>1203</v>
      </c>
      <c r="T125" s="14">
        <v>525000</v>
      </c>
      <c r="U125" s="15"/>
      <c r="V125" s="15">
        <v>41166</v>
      </c>
      <c r="W125" s="14">
        <v>525000</v>
      </c>
      <c r="X125" s="15"/>
      <c r="Y125" s="14"/>
      <c r="Z125" s="9" t="s">
        <v>1204</v>
      </c>
      <c r="AA125" s="9" t="s">
        <v>868</v>
      </c>
      <c r="AB125" s="9" t="s">
        <v>1205</v>
      </c>
      <c r="AC125" s="9" t="s">
        <v>870</v>
      </c>
      <c r="AD125" s="9"/>
      <c r="AE125" s="9"/>
    </row>
    <row r="126" spans="1:31" x14ac:dyDescent="0.2">
      <c r="A126" s="1" t="s">
        <v>31</v>
      </c>
      <c r="B126" s="1"/>
      <c r="C126" s="3">
        <v>45912</v>
      </c>
      <c r="D126" s="1" t="s">
        <v>49</v>
      </c>
      <c r="E126" s="1"/>
      <c r="F126" s="4" t="s">
        <v>1206</v>
      </c>
      <c r="G126" s="1">
        <v>2023</v>
      </c>
      <c r="H126" s="1" t="s">
        <v>1207</v>
      </c>
      <c r="I126" s="1" t="s">
        <v>1208</v>
      </c>
      <c r="J126" s="1" t="s">
        <v>1209</v>
      </c>
      <c r="K126" s="1" t="s">
        <v>1210</v>
      </c>
      <c r="L126" s="1" t="s">
        <v>1211</v>
      </c>
      <c r="M126" s="1" t="s">
        <v>1212</v>
      </c>
      <c r="N126" s="5" t="str">
        <f>HYPERLINK("https://www.google.com/maps/search/?api=1&amp;query=18-18 Cross Bald Blvd, Broad Channel, NY 11693", "OPEN MAP")</f>
        <v>OPEN MAP</v>
      </c>
      <c r="O126" s="1" t="s">
        <v>1213</v>
      </c>
      <c r="P126" s="1" t="s">
        <v>1214</v>
      </c>
      <c r="Q126" s="1" t="s">
        <v>43</v>
      </c>
      <c r="R126" s="1">
        <v>11693</v>
      </c>
      <c r="S126" s="6" t="s">
        <v>1215</v>
      </c>
      <c r="T126" s="7"/>
      <c r="U126" s="8"/>
      <c r="V126" s="8">
        <v>41443</v>
      </c>
      <c r="W126" s="7">
        <v>300000</v>
      </c>
      <c r="X126" s="8"/>
      <c r="Y126" s="7"/>
      <c r="Z126" s="1" t="s">
        <v>1216</v>
      </c>
      <c r="AA126" s="1" t="s">
        <v>1217</v>
      </c>
      <c r="AB126" s="1" t="s">
        <v>1218</v>
      </c>
      <c r="AC126" s="1" t="s">
        <v>1219</v>
      </c>
      <c r="AD126" s="1"/>
      <c r="AE126" s="1"/>
    </row>
    <row r="127" spans="1:31" x14ac:dyDescent="0.2">
      <c r="A127" s="9" t="s">
        <v>115</v>
      </c>
      <c r="B127" s="9"/>
      <c r="C127" s="10">
        <v>45912</v>
      </c>
      <c r="D127" s="9" t="s">
        <v>49</v>
      </c>
      <c r="E127" s="9"/>
      <c r="F127" s="11" t="s">
        <v>1220</v>
      </c>
      <c r="G127" s="9">
        <v>2024</v>
      </c>
      <c r="H127" s="9" t="s">
        <v>1221</v>
      </c>
      <c r="I127" s="9" t="s">
        <v>105</v>
      </c>
      <c r="J127" s="9" t="s">
        <v>1222</v>
      </c>
      <c r="K127" s="9" t="s">
        <v>1222</v>
      </c>
      <c r="L127" s="9"/>
      <c r="M127" s="9" t="s">
        <v>1223</v>
      </c>
      <c r="N127" s="12" t="str">
        <f>HYPERLINK("https://www.google.com/maps/search/?api=1&amp;query=168-66 93rd Avenue, Jamaica, NY 11433", "OPEN MAP")</f>
        <v>OPEN MAP</v>
      </c>
      <c r="O127" s="9" t="s">
        <v>1224</v>
      </c>
      <c r="P127" s="9" t="s">
        <v>42</v>
      </c>
      <c r="Q127" s="9" t="s">
        <v>43</v>
      </c>
      <c r="R127" s="9">
        <v>11433</v>
      </c>
      <c r="S127" s="13" t="s">
        <v>1225</v>
      </c>
      <c r="T127" s="14"/>
      <c r="U127" s="15"/>
      <c r="V127" s="15">
        <v>39218</v>
      </c>
      <c r="W127" s="14">
        <v>746000</v>
      </c>
      <c r="X127" s="15">
        <v>42948</v>
      </c>
      <c r="Y127" s="14">
        <v>818010.57</v>
      </c>
      <c r="Z127" s="9" t="s">
        <v>1226</v>
      </c>
      <c r="AA127" s="9" t="s">
        <v>1227</v>
      </c>
      <c r="AB127" s="9" t="s">
        <v>46</v>
      </c>
      <c r="AC127" s="9" t="s">
        <v>114</v>
      </c>
      <c r="AD127" s="9"/>
      <c r="AE127" s="9"/>
    </row>
    <row r="128" spans="1:31" x14ac:dyDescent="0.2">
      <c r="A128" s="1" t="s">
        <v>115</v>
      </c>
      <c r="B128" s="1"/>
      <c r="C128" s="3">
        <v>45912</v>
      </c>
      <c r="D128" s="1" t="s">
        <v>32</v>
      </c>
      <c r="E128" s="1"/>
      <c r="F128" s="4" t="s">
        <v>1228</v>
      </c>
      <c r="G128" s="1">
        <v>2021</v>
      </c>
      <c r="H128" s="1" t="s">
        <v>1229</v>
      </c>
      <c r="I128" s="1" t="s">
        <v>1089</v>
      </c>
      <c r="J128" s="1" t="s">
        <v>1230</v>
      </c>
      <c r="K128" s="1" t="s">
        <v>1230</v>
      </c>
      <c r="L128" s="1" t="s">
        <v>1231</v>
      </c>
      <c r="M128" s="1" t="s">
        <v>1232</v>
      </c>
      <c r="N128" s="5" t="str">
        <f>HYPERLINK("https://www.google.com/maps/search/?api=1&amp;query=341 Beach 88th Street, Rockaway Beach, NY 11693", "OPEN MAP")</f>
        <v>OPEN MAP</v>
      </c>
      <c r="O128" s="1" t="s">
        <v>1233</v>
      </c>
      <c r="P128" s="1" t="s">
        <v>1003</v>
      </c>
      <c r="Q128" s="1" t="s">
        <v>43</v>
      </c>
      <c r="R128" s="1">
        <v>11693</v>
      </c>
      <c r="S128" s="6" t="s">
        <v>1234</v>
      </c>
      <c r="T128" s="7">
        <v>363033.11</v>
      </c>
      <c r="U128" s="8">
        <v>45740</v>
      </c>
      <c r="V128" s="8"/>
      <c r="W128" s="7"/>
      <c r="X128" s="8"/>
      <c r="Y128" s="7"/>
      <c r="Z128" s="1"/>
      <c r="AA128" s="1" t="s">
        <v>91</v>
      </c>
      <c r="AB128" s="1" t="s">
        <v>92</v>
      </c>
      <c r="AC128" s="1"/>
      <c r="AD128" s="1" t="s">
        <v>388</v>
      </c>
      <c r="AE128" s="1"/>
    </row>
    <row r="129" spans="1:31" x14ac:dyDescent="0.2">
      <c r="A129" s="9" t="s">
        <v>115</v>
      </c>
      <c r="B129" s="9"/>
      <c r="C129" s="10">
        <v>45912</v>
      </c>
      <c r="D129" s="9" t="s">
        <v>32</v>
      </c>
      <c r="E129" s="9"/>
      <c r="F129" s="11" t="s">
        <v>1235</v>
      </c>
      <c r="G129" s="9">
        <v>2023</v>
      </c>
      <c r="H129" s="9" t="s">
        <v>1236</v>
      </c>
      <c r="I129" s="9" t="s">
        <v>1237</v>
      </c>
      <c r="J129" s="9" t="s">
        <v>1238</v>
      </c>
      <c r="K129" s="9" t="s">
        <v>1239</v>
      </c>
      <c r="L129" s="9"/>
      <c r="M129" s="9" t="s">
        <v>1240</v>
      </c>
      <c r="N129" s="12" t="str">
        <f>HYPERLINK("https://www.google.com/maps/search/?api=1&amp;query=34-34 110th Street, Flushing, NY 11368", "OPEN MAP")</f>
        <v>OPEN MAP</v>
      </c>
      <c r="O129" s="9" t="s">
        <v>1241</v>
      </c>
      <c r="P129" s="9" t="s">
        <v>69</v>
      </c>
      <c r="Q129" s="9" t="s">
        <v>43</v>
      </c>
      <c r="R129" s="9">
        <v>11368</v>
      </c>
      <c r="S129" s="13" t="s">
        <v>1242</v>
      </c>
      <c r="T129" s="14"/>
      <c r="U129" s="15"/>
      <c r="V129" s="15"/>
      <c r="W129" s="14"/>
      <c r="X129" s="15"/>
      <c r="Y129" s="14"/>
      <c r="Z129" s="9" t="s">
        <v>1243</v>
      </c>
      <c r="AA129" s="9" t="s">
        <v>1244</v>
      </c>
      <c r="AB129" s="9" t="s">
        <v>1245</v>
      </c>
      <c r="AC129" s="9" t="s">
        <v>1246</v>
      </c>
      <c r="AD129" s="9"/>
      <c r="AE129" s="9"/>
    </row>
    <row r="130" spans="1:31" x14ac:dyDescent="0.2">
      <c r="A130" s="1" t="s">
        <v>31</v>
      </c>
      <c r="B130" s="1"/>
      <c r="C130" s="3">
        <v>45912</v>
      </c>
      <c r="D130" s="1" t="s">
        <v>32</v>
      </c>
      <c r="E130" s="1"/>
      <c r="F130" s="4" t="s">
        <v>1247</v>
      </c>
      <c r="G130" s="1">
        <v>2019</v>
      </c>
      <c r="H130" s="1" t="s">
        <v>1248</v>
      </c>
      <c r="I130" s="1" t="s">
        <v>1249</v>
      </c>
      <c r="J130" s="1" t="s">
        <v>1250</v>
      </c>
      <c r="K130" s="1" t="s">
        <v>1250</v>
      </c>
      <c r="L130" s="1"/>
      <c r="M130" s="1" t="s">
        <v>1251</v>
      </c>
      <c r="N130" s="5" t="str">
        <f>HYPERLINK("https://www.google.com/maps/search/?api=1&amp;query=189-11 MANGIN AVENUE, SAINT ALBANS, NY 11412", "OPEN MAP")</f>
        <v>OPEN MAP</v>
      </c>
      <c r="O130" s="1" t="s">
        <v>1252</v>
      </c>
      <c r="P130" s="1" t="s">
        <v>1253</v>
      </c>
      <c r="Q130" s="1" t="s">
        <v>43</v>
      </c>
      <c r="R130" s="1">
        <v>11412</v>
      </c>
      <c r="S130" s="6" t="s">
        <v>1254</v>
      </c>
      <c r="T130" s="7">
        <v>39045.49</v>
      </c>
      <c r="U130" s="8">
        <v>45614</v>
      </c>
      <c r="V130" s="8"/>
      <c r="W130" s="7"/>
      <c r="X130" s="8"/>
      <c r="Y130" s="7"/>
      <c r="Z130" s="1"/>
      <c r="AA130" s="1" t="s">
        <v>444</v>
      </c>
      <c r="AB130" s="1" t="s">
        <v>1255</v>
      </c>
      <c r="AC130" s="1"/>
      <c r="AD130" s="1" t="s">
        <v>1256</v>
      </c>
      <c r="AE130" s="1"/>
    </row>
    <row r="131" spans="1:31" x14ac:dyDescent="0.2">
      <c r="A131" s="9" t="s">
        <v>31</v>
      </c>
      <c r="B131" s="9"/>
      <c r="C131" s="10">
        <v>45912</v>
      </c>
      <c r="D131" s="9" t="s">
        <v>49</v>
      </c>
      <c r="E131" s="9" t="s">
        <v>33</v>
      </c>
      <c r="F131" s="11" t="s">
        <v>1257</v>
      </c>
      <c r="G131" s="9">
        <v>2016</v>
      </c>
      <c r="H131" s="9" t="s">
        <v>1258</v>
      </c>
      <c r="I131" s="9" t="s">
        <v>1259</v>
      </c>
      <c r="J131" s="9" t="s">
        <v>1260</v>
      </c>
      <c r="K131" s="9" t="s">
        <v>1260</v>
      </c>
      <c r="L131" s="9"/>
      <c r="M131" s="9" t="s">
        <v>1261</v>
      </c>
      <c r="N131" s="12" t="str">
        <f>HYPERLINK("https://www.google.com/maps/search/?api=1&amp;query=25-53 Mcintosh Street, East Elmhurst, NY 11369", "OPEN MAP")</f>
        <v>OPEN MAP</v>
      </c>
      <c r="O131" s="9" t="s">
        <v>1262</v>
      </c>
      <c r="P131" s="9" t="s">
        <v>559</v>
      </c>
      <c r="Q131" s="9" t="s">
        <v>43</v>
      </c>
      <c r="R131" s="9">
        <v>11369</v>
      </c>
      <c r="S131" s="13" t="s">
        <v>1263</v>
      </c>
      <c r="T131" s="14">
        <v>536581.85</v>
      </c>
      <c r="U131" s="15">
        <v>43823</v>
      </c>
      <c r="V131" s="15"/>
      <c r="W131" s="14"/>
      <c r="X131" s="15"/>
      <c r="Y131" s="14"/>
      <c r="Z131" s="9"/>
      <c r="AA131" s="9" t="s">
        <v>415</v>
      </c>
      <c r="AB131" s="9" t="s">
        <v>416</v>
      </c>
      <c r="AC131" s="9" t="s">
        <v>417</v>
      </c>
      <c r="AD131" s="9" t="s">
        <v>1264</v>
      </c>
      <c r="AE131" s="9"/>
    </row>
    <row r="132" spans="1:31" x14ac:dyDescent="0.2">
      <c r="A132" s="1" t="s">
        <v>31</v>
      </c>
      <c r="B132" s="1"/>
      <c r="C132" s="3">
        <v>45912</v>
      </c>
      <c r="D132" s="1" t="s">
        <v>49</v>
      </c>
      <c r="E132" s="1"/>
      <c r="F132" s="4" t="s">
        <v>1265</v>
      </c>
      <c r="G132" s="1">
        <v>2017</v>
      </c>
      <c r="H132" s="1" t="s">
        <v>1266</v>
      </c>
      <c r="I132" s="1" t="s">
        <v>203</v>
      </c>
      <c r="J132" s="1" t="s">
        <v>1267</v>
      </c>
      <c r="K132" s="1" t="s">
        <v>1267</v>
      </c>
      <c r="L132" s="1" t="s">
        <v>1268</v>
      </c>
      <c r="M132" s="1" t="s">
        <v>1269</v>
      </c>
      <c r="N132" s="5" t="str">
        <f>HYPERLINK("https://www.google.com/maps/search/?api=1&amp;query=200-16 104th Avenue, Saint Albans, New York 11412", "OPEN MAP")</f>
        <v>OPEN MAP</v>
      </c>
      <c r="O132" s="1" t="s">
        <v>1270</v>
      </c>
      <c r="P132" s="1" t="s">
        <v>357</v>
      </c>
      <c r="Q132" s="1" t="s">
        <v>251</v>
      </c>
      <c r="R132" s="1">
        <v>11412</v>
      </c>
      <c r="S132" s="6" t="s">
        <v>1271</v>
      </c>
      <c r="T132" s="7">
        <v>433398.92</v>
      </c>
      <c r="U132" s="8">
        <v>43895</v>
      </c>
      <c r="V132" s="8"/>
      <c r="W132" s="7"/>
      <c r="X132" s="8"/>
      <c r="Y132" s="7"/>
      <c r="Z132" s="1"/>
      <c r="AA132" s="1" t="s">
        <v>318</v>
      </c>
      <c r="AB132" s="1" t="s">
        <v>319</v>
      </c>
      <c r="AC132" s="1" t="s">
        <v>256</v>
      </c>
      <c r="AD132" s="1" t="s">
        <v>1272</v>
      </c>
      <c r="AE132" s="1"/>
    </row>
    <row r="133" spans="1:31" x14ac:dyDescent="0.2">
      <c r="A133" s="9" t="s">
        <v>31</v>
      </c>
      <c r="B133" s="9"/>
      <c r="C133" s="10">
        <v>45912</v>
      </c>
      <c r="D133" s="9" t="s">
        <v>32</v>
      </c>
      <c r="E133" s="9"/>
      <c r="F133" s="11" t="s">
        <v>1273</v>
      </c>
      <c r="G133" s="9">
        <v>2017</v>
      </c>
      <c r="H133" s="9" t="s">
        <v>1274</v>
      </c>
      <c r="I133" s="9" t="s">
        <v>1275</v>
      </c>
      <c r="J133" s="9" t="s">
        <v>1276</v>
      </c>
      <c r="K133" s="9" t="s">
        <v>1277</v>
      </c>
      <c r="L133" s="9"/>
      <c r="M133" s="9" t="s">
        <v>1278</v>
      </c>
      <c r="N133" s="12" t="str">
        <f>HYPERLINK("https://www.google.com/maps/search/?api=1&amp;query=78-19 Jamaica Avenue, Woodhaven, NY 11421", "OPEN MAP")</f>
        <v>OPEN MAP</v>
      </c>
      <c r="O133" s="9" t="s">
        <v>1279</v>
      </c>
      <c r="P133" s="9" t="s">
        <v>149</v>
      </c>
      <c r="Q133" s="9" t="s">
        <v>43</v>
      </c>
      <c r="R133" s="9">
        <v>11421</v>
      </c>
      <c r="S133" s="13" t="s">
        <v>1280</v>
      </c>
      <c r="T133" s="14">
        <v>853984.28</v>
      </c>
      <c r="U133" s="15">
        <v>45644</v>
      </c>
      <c r="V133" s="15"/>
      <c r="W133" s="14"/>
      <c r="X133" s="15"/>
      <c r="Y133" s="14"/>
      <c r="Z133" s="9" t="s">
        <v>1149</v>
      </c>
      <c r="AA133" s="9" t="s">
        <v>1150</v>
      </c>
      <c r="AB133" s="9" t="s">
        <v>1151</v>
      </c>
      <c r="AC133" s="9" t="s">
        <v>1152</v>
      </c>
      <c r="AD133" s="9" t="s">
        <v>508</v>
      </c>
      <c r="AE133" s="9"/>
    </row>
    <row r="134" spans="1:31" x14ac:dyDescent="0.2">
      <c r="A134" s="1" t="s">
        <v>31</v>
      </c>
      <c r="B134" s="1"/>
      <c r="C134" s="3">
        <v>45912</v>
      </c>
      <c r="D134" s="1" t="s">
        <v>49</v>
      </c>
      <c r="E134" s="1"/>
      <c r="F134" s="4" t="s">
        <v>1281</v>
      </c>
      <c r="G134" s="1">
        <v>2011</v>
      </c>
      <c r="H134" s="1" t="s">
        <v>1282</v>
      </c>
      <c r="I134" s="1" t="s">
        <v>1156</v>
      </c>
      <c r="J134" s="1" t="s">
        <v>1283</v>
      </c>
      <c r="K134" s="1" t="s">
        <v>1283</v>
      </c>
      <c r="L134" s="1"/>
      <c r="M134" s="1" t="s">
        <v>1284</v>
      </c>
      <c r="N134" s="5" t="str">
        <f>HYPERLINK("https://www.google.com/maps/search/?api=1&amp;query=215-23 102nd Avenue, Queens Village, NY 11429", "OPEN MAP")</f>
        <v>OPEN MAP</v>
      </c>
      <c r="O134" s="1" t="s">
        <v>1285</v>
      </c>
      <c r="P134" s="1" t="s">
        <v>178</v>
      </c>
      <c r="Q134" s="1" t="s">
        <v>43</v>
      </c>
      <c r="R134" s="1">
        <v>11429</v>
      </c>
      <c r="S134" s="6" t="s">
        <v>1286</v>
      </c>
      <c r="T134" s="7">
        <v>682851.56</v>
      </c>
      <c r="U134" s="8">
        <v>45813</v>
      </c>
      <c r="V134" s="8"/>
      <c r="W134" s="7"/>
      <c r="X134" s="8"/>
      <c r="Y134" s="7"/>
      <c r="Z134" s="1"/>
      <c r="AA134" s="1" t="s">
        <v>482</v>
      </c>
      <c r="AB134" s="1" t="s">
        <v>483</v>
      </c>
      <c r="AC134" s="1"/>
      <c r="AD134" s="1" t="s">
        <v>1287</v>
      </c>
      <c r="AE134" s="1"/>
    </row>
    <row r="135" spans="1:31" x14ac:dyDescent="0.2">
      <c r="A135" s="9" t="s">
        <v>31</v>
      </c>
      <c r="B135" s="9"/>
      <c r="C135" s="10">
        <v>45912</v>
      </c>
      <c r="D135" s="9" t="s">
        <v>49</v>
      </c>
      <c r="E135" s="9"/>
      <c r="F135" s="11" t="s">
        <v>1288</v>
      </c>
      <c r="G135" s="9">
        <v>2013</v>
      </c>
      <c r="H135" s="9" t="s">
        <v>1289</v>
      </c>
      <c r="I135" s="9" t="s">
        <v>1290</v>
      </c>
      <c r="J135" s="9" t="s">
        <v>1291</v>
      </c>
      <c r="K135" s="9" t="s">
        <v>1291</v>
      </c>
      <c r="L135" s="9"/>
      <c r="M135" s="9" t="s">
        <v>1292</v>
      </c>
      <c r="N135" s="12" t="str">
        <f>HYPERLINK("https://www.google.com/maps/search/?api=1&amp;query=249 Beach 118th Street, Rockaway Park, NY 11694", "OPEN MAP")</f>
        <v>OPEN MAP</v>
      </c>
      <c r="O135" s="9" t="s">
        <v>1293</v>
      </c>
      <c r="P135" s="9" t="s">
        <v>1294</v>
      </c>
      <c r="Q135" s="9" t="s">
        <v>43</v>
      </c>
      <c r="R135" s="9">
        <v>11694</v>
      </c>
      <c r="S135" s="13" t="s">
        <v>1295</v>
      </c>
      <c r="T135" s="14">
        <v>597278.67000000004</v>
      </c>
      <c r="U135" s="15">
        <v>44867</v>
      </c>
      <c r="V135" s="15"/>
      <c r="W135" s="14"/>
      <c r="X135" s="15"/>
      <c r="Y135" s="14"/>
      <c r="Z135" s="9"/>
      <c r="AA135" s="9" t="s">
        <v>348</v>
      </c>
      <c r="AB135" s="9" t="s">
        <v>349</v>
      </c>
      <c r="AC135" s="9"/>
      <c r="AD135" s="9" t="s">
        <v>1296</v>
      </c>
      <c r="AE135" s="9"/>
    </row>
    <row r="136" spans="1:31" x14ac:dyDescent="0.2">
      <c r="A136" s="1" t="s">
        <v>115</v>
      </c>
      <c r="B136" s="1"/>
      <c r="C136" s="3">
        <v>45912</v>
      </c>
      <c r="D136" s="1" t="s">
        <v>49</v>
      </c>
      <c r="E136" s="1"/>
      <c r="F136" s="4" t="s">
        <v>1297</v>
      </c>
      <c r="G136" s="1">
        <v>2017</v>
      </c>
      <c r="H136" s="1" t="s">
        <v>1298</v>
      </c>
      <c r="I136" s="1" t="s">
        <v>333</v>
      </c>
      <c r="J136" s="1" t="s">
        <v>1299</v>
      </c>
      <c r="K136" s="1" t="s">
        <v>1300</v>
      </c>
      <c r="L136" s="1" t="s">
        <v>1301</v>
      </c>
      <c r="M136" s="1" t="s">
        <v>1302</v>
      </c>
      <c r="N136" s="5" t="str">
        <f>HYPERLINK("https://www.google.com/maps/search/?api=1&amp;query=10453 128TH ST SOUTH RICHMOND HILL, NY 11419", "OPEN MAP")</f>
        <v>OPEN MAP</v>
      </c>
      <c r="O136" s="1" t="s">
        <v>1303</v>
      </c>
      <c r="P136" s="1" t="s">
        <v>736</v>
      </c>
      <c r="Q136" s="1" t="s">
        <v>43</v>
      </c>
      <c r="R136" s="1">
        <v>11419</v>
      </c>
      <c r="S136" s="6" t="s">
        <v>1304</v>
      </c>
      <c r="T136" s="7"/>
      <c r="U136" s="8"/>
      <c r="V136" s="8">
        <v>39072</v>
      </c>
      <c r="W136" s="7"/>
      <c r="X136" s="8">
        <v>40801</v>
      </c>
      <c r="Y136" s="7"/>
      <c r="Z136" s="1" t="s">
        <v>1305</v>
      </c>
      <c r="AA136" s="1" t="s">
        <v>1306</v>
      </c>
      <c r="AB136" s="1" t="s">
        <v>1307</v>
      </c>
      <c r="AC136" s="1" t="s">
        <v>1308</v>
      </c>
      <c r="AD136" s="1"/>
      <c r="AE136" s="1"/>
    </row>
    <row r="137" spans="1:31" x14ac:dyDescent="0.2">
      <c r="A137" s="9" t="s">
        <v>31</v>
      </c>
      <c r="B137" s="9"/>
      <c r="C137" s="10">
        <v>45912</v>
      </c>
      <c r="D137" s="9" t="s">
        <v>49</v>
      </c>
      <c r="E137" s="9"/>
      <c r="F137" s="11" t="s">
        <v>1309</v>
      </c>
      <c r="G137" s="9">
        <v>2014</v>
      </c>
      <c r="H137" s="9" t="s">
        <v>1310</v>
      </c>
      <c r="I137" s="9" t="s">
        <v>233</v>
      </c>
      <c r="J137" s="9" t="s">
        <v>1311</v>
      </c>
      <c r="K137" s="9" t="s">
        <v>1312</v>
      </c>
      <c r="L137" s="9"/>
      <c r="M137" s="9" t="s">
        <v>1313</v>
      </c>
      <c r="N137" s="12" t="str">
        <f>HYPERLINK("https://www.google.com/maps/search/?api=1&amp;query=588 ONDERDONK AVENUE RIDGEWOOD, NY 11385", "OPEN MAP")</f>
        <v>OPEN MAP</v>
      </c>
      <c r="O137" s="9" t="s">
        <v>1314</v>
      </c>
      <c r="P137" s="9" t="s">
        <v>250</v>
      </c>
      <c r="Q137" s="9" t="s">
        <v>251</v>
      </c>
      <c r="R137" s="9">
        <v>11385</v>
      </c>
      <c r="S137" s="13" t="s">
        <v>1315</v>
      </c>
      <c r="T137" s="14">
        <v>600000</v>
      </c>
      <c r="U137" s="15"/>
      <c r="V137" s="15">
        <v>38996</v>
      </c>
      <c r="W137" s="14">
        <v>600000</v>
      </c>
      <c r="X137" s="15">
        <v>40399</v>
      </c>
      <c r="Y137" s="14">
        <v>723320.31999999995</v>
      </c>
      <c r="Z137" s="9" t="s">
        <v>1316</v>
      </c>
      <c r="AA137" s="9" t="s">
        <v>91</v>
      </c>
      <c r="AB137" s="9" t="s">
        <v>1317</v>
      </c>
      <c r="AC137" s="9" t="s">
        <v>519</v>
      </c>
      <c r="AD137" s="9"/>
      <c r="AE137" s="9"/>
    </row>
    <row r="138" spans="1:31" x14ac:dyDescent="0.2">
      <c r="A138" s="1" t="s">
        <v>31</v>
      </c>
      <c r="B138" s="1"/>
      <c r="C138" s="3">
        <v>45912</v>
      </c>
      <c r="D138" s="1" t="s">
        <v>49</v>
      </c>
      <c r="E138" s="1"/>
      <c r="F138" s="4" t="s">
        <v>1318</v>
      </c>
      <c r="G138" s="1">
        <v>2024</v>
      </c>
      <c r="H138" s="1" t="s">
        <v>1319</v>
      </c>
      <c r="I138" s="1" t="s">
        <v>1320</v>
      </c>
      <c r="J138" s="1" t="s">
        <v>1321</v>
      </c>
      <c r="K138" s="1" t="s">
        <v>1321</v>
      </c>
      <c r="L138" s="1"/>
      <c r="M138" s="1" t="s">
        <v>1322</v>
      </c>
      <c r="N138" s="5" t="str">
        <f>HYPERLINK("https://www.google.com/maps/search/?api=1&amp;query=114-45 143rd Street, Jamaica, NY 11436", "OPEN MAP")</f>
        <v>OPEN MAP</v>
      </c>
      <c r="O138" s="1" t="s">
        <v>1323</v>
      </c>
      <c r="P138" s="1" t="s">
        <v>42</v>
      </c>
      <c r="Q138" s="1" t="s">
        <v>43</v>
      </c>
      <c r="R138" s="1">
        <v>11436</v>
      </c>
      <c r="S138" s="6" t="s">
        <v>1324</v>
      </c>
      <c r="T138" s="7">
        <v>752607.98</v>
      </c>
      <c r="U138" s="8">
        <v>45575</v>
      </c>
      <c r="V138" s="8"/>
      <c r="W138" s="7"/>
      <c r="X138" s="8"/>
      <c r="Y138" s="7"/>
      <c r="Z138" s="1"/>
      <c r="AA138" s="1" t="s">
        <v>1325</v>
      </c>
      <c r="AB138" s="1" t="s">
        <v>309</v>
      </c>
      <c r="AC138" s="1"/>
      <c r="AD138" s="1" t="s">
        <v>1326</v>
      </c>
      <c r="AE138" s="1"/>
    </row>
    <row r="139" spans="1:31" x14ac:dyDescent="0.2">
      <c r="A139" s="9" t="s">
        <v>115</v>
      </c>
      <c r="B139" s="9"/>
      <c r="C139" s="10">
        <v>45912</v>
      </c>
      <c r="D139" s="9" t="s">
        <v>32</v>
      </c>
      <c r="E139" s="9"/>
      <c r="F139" s="11" t="s">
        <v>1327</v>
      </c>
      <c r="G139" s="9">
        <v>2021</v>
      </c>
      <c r="H139" s="9" t="s">
        <v>1328</v>
      </c>
      <c r="I139" s="9" t="s">
        <v>1329</v>
      </c>
      <c r="J139" s="9" t="s">
        <v>1330</v>
      </c>
      <c r="K139" s="9" t="s">
        <v>1330</v>
      </c>
      <c r="L139" s="9"/>
      <c r="M139" s="9" t="s">
        <v>1331</v>
      </c>
      <c r="N139" s="12" t="str">
        <f>HYPERLINK("https://www.google.com/maps/search/?api=1&amp;query=ROOSEVELT AVENUE, JACKSON HEIGHTS, NY 11372", "OPEN MAP")</f>
        <v>OPEN MAP</v>
      </c>
      <c r="O139" s="9" t="s">
        <v>1332</v>
      </c>
      <c r="P139" s="9" t="s">
        <v>716</v>
      </c>
      <c r="Q139" s="9" t="s">
        <v>43</v>
      </c>
      <c r="R139" s="9">
        <v>11372</v>
      </c>
      <c r="S139" s="13" t="s">
        <v>1333</v>
      </c>
      <c r="T139" s="14">
        <v>19717.2</v>
      </c>
      <c r="U139" s="15">
        <v>45168</v>
      </c>
      <c r="V139" s="15"/>
      <c r="W139" s="14"/>
      <c r="X139" s="15"/>
      <c r="Y139" s="14"/>
      <c r="Z139" s="9"/>
      <c r="AA139" s="9" t="s">
        <v>444</v>
      </c>
      <c r="AB139" s="9" t="s">
        <v>1255</v>
      </c>
      <c r="AC139" s="9"/>
      <c r="AD139" s="9" t="s">
        <v>1334</v>
      </c>
      <c r="AE139" s="9"/>
    </row>
    <row r="140" spans="1:31" x14ac:dyDescent="0.2">
      <c r="A140" s="1" t="s">
        <v>31</v>
      </c>
      <c r="B140" s="1"/>
      <c r="C140" s="3">
        <v>45912</v>
      </c>
      <c r="D140" s="1" t="s">
        <v>49</v>
      </c>
      <c r="E140" s="1"/>
      <c r="F140" s="4" t="s">
        <v>1335</v>
      </c>
      <c r="G140" s="1">
        <v>2022</v>
      </c>
      <c r="H140" s="1" t="s">
        <v>1336</v>
      </c>
      <c r="I140" s="1" t="s">
        <v>683</v>
      </c>
      <c r="J140" s="1" t="s">
        <v>1337</v>
      </c>
      <c r="K140" s="1" t="s">
        <v>1338</v>
      </c>
      <c r="L140" s="1" t="s">
        <v>1339</v>
      </c>
      <c r="M140" s="1" t="s">
        <v>1340</v>
      </c>
      <c r="N140" s="5" t="str">
        <f>HYPERLINK("https://www.google.com/maps/search/?api=1&amp;query=84-61 Abingdon Road, Kew Gardens, NY 11415", "OPEN MAP")</f>
        <v>OPEN MAP</v>
      </c>
      <c r="O140" s="1" t="s">
        <v>1341</v>
      </c>
      <c r="P140" s="1" t="s">
        <v>1342</v>
      </c>
      <c r="Q140" s="1" t="s">
        <v>43</v>
      </c>
      <c r="R140" s="1">
        <v>11415</v>
      </c>
      <c r="S140" s="6" t="s">
        <v>1343</v>
      </c>
      <c r="T140" s="7"/>
      <c r="U140" s="8"/>
      <c r="V140" s="8">
        <v>39148</v>
      </c>
      <c r="W140" s="7">
        <v>485000</v>
      </c>
      <c r="X140" s="8"/>
      <c r="Y140" s="7"/>
      <c r="Z140" s="1" t="s">
        <v>1344</v>
      </c>
      <c r="AA140" s="1" t="s">
        <v>1345</v>
      </c>
      <c r="AB140" s="1" t="s">
        <v>1346</v>
      </c>
      <c r="AC140" s="1" t="s">
        <v>1347</v>
      </c>
      <c r="AD140" s="1"/>
      <c r="AE140" s="1"/>
    </row>
    <row r="141" spans="1:31" x14ac:dyDescent="0.2">
      <c r="A141" s="9" t="s">
        <v>115</v>
      </c>
      <c r="B141" s="9"/>
      <c r="C141" s="10">
        <v>45912</v>
      </c>
      <c r="D141" s="9" t="s">
        <v>32</v>
      </c>
      <c r="E141" s="9"/>
      <c r="F141" s="11" t="s">
        <v>1348</v>
      </c>
      <c r="G141" s="9">
        <v>2022</v>
      </c>
      <c r="H141" s="9" t="s">
        <v>1349</v>
      </c>
      <c r="I141" s="9" t="s">
        <v>233</v>
      </c>
      <c r="J141" s="9" t="s">
        <v>1350</v>
      </c>
      <c r="K141" s="9" t="s">
        <v>1351</v>
      </c>
      <c r="L141" s="9" t="s">
        <v>1352</v>
      </c>
      <c r="M141" s="9" t="s">
        <v>1353</v>
      </c>
      <c r="N141" s="12" t="str">
        <f>HYPERLINK("https://www.google.com/maps/search/?api=1&amp;query=32-29 Junction Boulevard, East Elmhurst, New York 11369", "OPEN MAP")</f>
        <v>OPEN MAP</v>
      </c>
      <c r="O141" s="9" t="s">
        <v>1354</v>
      </c>
      <c r="P141" s="9" t="s">
        <v>559</v>
      </c>
      <c r="Q141" s="9" t="s">
        <v>251</v>
      </c>
      <c r="R141" s="9">
        <v>11369</v>
      </c>
      <c r="S141" s="13" t="s">
        <v>1355</v>
      </c>
      <c r="T141" s="14">
        <v>1447773.73</v>
      </c>
      <c r="U141" s="15">
        <v>45323</v>
      </c>
      <c r="V141" s="15"/>
      <c r="W141" s="14"/>
      <c r="X141" s="15"/>
      <c r="Y141" s="14"/>
      <c r="Z141" s="9"/>
      <c r="AA141" s="9" t="s">
        <v>1356</v>
      </c>
      <c r="AB141" s="9" t="s">
        <v>1357</v>
      </c>
      <c r="AC141" s="9"/>
      <c r="AD141" s="9" t="s">
        <v>1358</v>
      </c>
      <c r="AE141" s="9"/>
    </row>
    <row r="142" spans="1:31" x14ac:dyDescent="0.2">
      <c r="A142" s="1" t="s">
        <v>31</v>
      </c>
      <c r="B142" s="1"/>
      <c r="C142" s="3">
        <v>45912</v>
      </c>
      <c r="D142" s="1" t="s">
        <v>49</v>
      </c>
      <c r="E142" s="1"/>
      <c r="F142" s="4" t="s">
        <v>1359</v>
      </c>
      <c r="G142" s="1">
        <v>2017</v>
      </c>
      <c r="H142" s="1" t="s">
        <v>1360</v>
      </c>
      <c r="I142" s="1" t="s">
        <v>233</v>
      </c>
      <c r="J142" s="1" t="s">
        <v>1361</v>
      </c>
      <c r="K142" s="1" t="s">
        <v>1361</v>
      </c>
      <c r="L142" s="1"/>
      <c r="M142" s="1" t="s">
        <v>1362</v>
      </c>
      <c r="N142" s="5" t="str">
        <f>HYPERLINK("https://www.google.com/maps/search/?api=1&amp;query=187-10 Pineville Lane, Springfield Gardens New York", "OPEN MAP")</f>
        <v>OPEN MAP</v>
      </c>
      <c r="O142" s="1" t="s">
        <v>1363</v>
      </c>
      <c r="P142" s="1" t="s">
        <v>858</v>
      </c>
      <c r="Q142" s="1" t="s">
        <v>43</v>
      </c>
      <c r="R142" s="1" t="s">
        <v>1364</v>
      </c>
      <c r="S142" s="6" t="s">
        <v>1365</v>
      </c>
      <c r="T142" s="7"/>
      <c r="U142" s="8"/>
      <c r="V142" s="8">
        <v>39211</v>
      </c>
      <c r="W142" s="7">
        <v>418500</v>
      </c>
      <c r="X142" s="8"/>
      <c r="Y142" s="7"/>
      <c r="Z142" s="1" t="s">
        <v>1366</v>
      </c>
      <c r="AA142" s="1" t="s">
        <v>1045</v>
      </c>
      <c r="AB142" s="1" t="s">
        <v>1367</v>
      </c>
      <c r="AC142" s="1" t="s">
        <v>1047</v>
      </c>
      <c r="AD142" s="1"/>
      <c r="AE142" s="1"/>
    </row>
    <row r="143" spans="1:31" x14ac:dyDescent="0.2">
      <c r="A143" s="9" t="s">
        <v>31</v>
      </c>
      <c r="B143" s="9"/>
      <c r="C143" s="10">
        <v>45912</v>
      </c>
      <c r="D143" s="9" t="s">
        <v>32</v>
      </c>
      <c r="E143" s="9"/>
      <c r="F143" s="11" t="s">
        <v>1368</v>
      </c>
      <c r="G143" s="9">
        <v>2024</v>
      </c>
      <c r="H143" s="9" t="s">
        <v>1369</v>
      </c>
      <c r="I143" s="9" t="s">
        <v>1370</v>
      </c>
      <c r="J143" s="9" t="s">
        <v>1371</v>
      </c>
      <c r="K143" s="9" t="s">
        <v>1372</v>
      </c>
      <c r="L143" s="9" t="s">
        <v>1373</v>
      </c>
      <c r="M143" s="9" t="s">
        <v>1374</v>
      </c>
      <c r="N143" s="12" t="str">
        <f>HYPERLINK("https://www.google.com/maps/search/?api=1&amp;query=86-17 121st Street, Richmond Hill, NY 11418", "OPEN MAP")</f>
        <v>OPEN MAP</v>
      </c>
      <c r="O143" s="9" t="s">
        <v>1375</v>
      </c>
      <c r="P143" s="9" t="s">
        <v>453</v>
      </c>
      <c r="Q143" s="9" t="s">
        <v>43</v>
      </c>
      <c r="R143" s="9">
        <v>11418</v>
      </c>
      <c r="S143" s="13" t="s">
        <v>1376</v>
      </c>
      <c r="T143" s="14"/>
      <c r="U143" s="15"/>
      <c r="V143" s="15">
        <v>35689</v>
      </c>
      <c r="W143" s="14">
        <v>182780</v>
      </c>
      <c r="X143" s="15"/>
      <c r="Y143" s="14"/>
      <c r="Z143" s="9" t="s">
        <v>619</v>
      </c>
      <c r="AA143" s="9" t="s">
        <v>1377</v>
      </c>
      <c r="AB143" s="9" t="s">
        <v>518</v>
      </c>
      <c r="AC143" s="9" t="s">
        <v>519</v>
      </c>
      <c r="AD143" s="9"/>
      <c r="AE143" s="9"/>
    </row>
    <row r="144" spans="1:31" x14ac:dyDescent="0.2">
      <c r="A144" s="1" t="s">
        <v>31</v>
      </c>
      <c r="B144" s="1"/>
      <c r="C144" s="3">
        <v>45912</v>
      </c>
      <c r="D144" s="1" t="s">
        <v>32</v>
      </c>
      <c r="E144" s="1" t="s">
        <v>33</v>
      </c>
      <c r="F144" s="4" t="s">
        <v>1378</v>
      </c>
      <c r="G144" s="1">
        <v>2014</v>
      </c>
      <c r="H144" s="1" t="s">
        <v>1379</v>
      </c>
      <c r="I144" s="1" t="s">
        <v>1380</v>
      </c>
      <c r="J144" s="1" t="s">
        <v>1381</v>
      </c>
      <c r="K144" s="1" t="s">
        <v>1382</v>
      </c>
      <c r="L144" s="1" t="s">
        <v>1383</v>
      </c>
      <c r="M144" s="1" t="s">
        <v>1384</v>
      </c>
      <c r="N144" s="5" t="str">
        <f>HYPERLINK("https://www.google.com/maps/search/?api=1&amp;query=130-35 91st Avenue, Richmond Hill, New York 11418", "OPEN MAP")</f>
        <v>OPEN MAP</v>
      </c>
      <c r="O144" s="1" t="s">
        <v>1385</v>
      </c>
      <c r="P144" s="1" t="s">
        <v>453</v>
      </c>
      <c r="Q144" s="1" t="s">
        <v>251</v>
      </c>
      <c r="R144" s="1">
        <v>11418</v>
      </c>
      <c r="S144" s="6" t="s">
        <v>1386</v>
      </c>
      <c r="T144" s="7">
        <v>3212695.16</v>
      </c>
      <c r="U144" s="8">
        <v>45037</v>
      </c>
      <c r="V144" s="8"/>
      <c r="W144" s="7"/>
      <c r="X144" s="8"/>
      <c r="Y144" s="7"/>
      <c r="Z144" s="1" t="s">
        <v>1149</v>
      </c>
      <c r="AA144" s="1" t="s">
        <v>1150</v>
      </c>
      <c r="AB144" s="1" t="s">
        <v>1151</v>
      </c>
      <c r="AC144" s="1" t="s">
        <v>1152</v>
      </c>
      <c r="AD144" s="1" t="s">
        <v>1387</v>
      </c>
      <c r="AE144" s="1"/>
    </row>
    <row r="145" spans="1:31" x14ac:dyDescent="0.2">
      <c r="A145" s="9" t="s">
        <v>31</v>
      </c>
      <c r="B145" s="9"/>
      <c r="C145" s="10">
        <v>45912</v>
      </c>
      <c r="D145" s="9" t="s">
        <v>32</v>
      </c>
      <c r="E145" s="9"/>
      <c r="F145" s="11" t="s">
        <v>1388</v>
      </c>
      <c r="G145" s="9">
        <v>2018</v>
      </c>
      <c r="H145" s="9" t="s">
        <v>1389</v>
      </c>
      <c r="I145" s="9" t="s">
        <v>1390</v>
      </c>
      <c r="J145" s="9" t="s">
        <v>1391</v>
      </c>
      <c r="K145" s="9" t="s">
        <v>1391</v>
      </c>
      <c r="L145" s="9"/>
      <c r="M145" s="9" t="s">
        <v>1392</v>
      </c>
      <c r="N145" s="12" t="str">
        <f>HYPERLINK("https://www.google.com/maps/search/?api=1&amp;query=111-32 170TH STREET, JAMAICA, NY 11433 and 111-30 170TH STREET, JAMAICA, NY 11433", "OPEN MAP")</f>
        <v>OPEN MAP</v>
      </c>
      <c r="O145" s="9" t="s">
        <v>1393</v>
      </c>
      <c r="P145" s="9" t="s">
        <v>274</v>
      </c>
      <c r="Q145" s="9" t="s">
        <v>43</v>
      </c>
      <c r="R145" s="9">
        <v>11433</v>
      </c>
      <c r="S145" s="13" t="s">
        <v>1394</v>
      </c>
      <c r="T145" s="14">
        <v>861101.86</v>
      </c>
      <c r="U145" s="15">
        <v>45860</v>
      </c>
      <c r="V145" s="15"/>
      <c r="W145" s="14"/>
      <c r="X145" s="15"/>
      <c r="Y145" s="14"/>
      <c r="Z145" s="9"/>
      <c r="AA145" s="9" t="s">
        <v>1395</v>
      </c>
      <c r="AB145" s="9" t="s">
        <v>329</v>
      </c>
      <c r="AC145" s="9"/>
      <c r="AD145" s="9" t="s">
        <v>1396</v>
      </c>
      <c r="AE145" s="9"/>
    </row>
    <row r="146" spans="1:31" x14ac:dyDescent="0.2">
      <c r="A146" s="1" t="s">
        <v>115</v>
      </c>
      <c r="B146" s="1"/>
      <c r="C146" s="3">
        <v>45912</v>
      </c>
      <c r="D146" s="1" t="s">
        <v>32</v>
      </c>
      <c r="E146" s="1"/>
      <c r="F146" s="4" t="s">
        <v>1397</v>
      </c>
      <c r="G146" s="1">
        <v>2020</v>
      </c>
      <c r="H146" s="1" t="s">
        <v>1398</v>
      </c>
      <c r="I146" s="1" t="s">
        <v>1399</v>
      </c>
      <c r="J146" s="1" t="s">
        <v>1400</v>
      </c>
      <c r="K146" s="1" t="s">
        <v>1400</v>
      </c>
      <c r="L146" s="1"/>
      <c r="M146" s="1" t="s">
        <v>1401</v>
      </c>
      <c r="N146" s="5" t="str">
        <f>HYPERLINK("https://www.google.com/maps/search/?api=1&amp;query=95-20 150th Street, Jamaica, NY 11435", "OPEN MAP")</f>
        <v>OPEN MAP</v>
      </c>
      <c r="O146" s="1" t="s">
        <v>1402</v>
      </c>
      <c r="P146" s="1" t="s">
        <v>42</v>
      </c>
      <c r="Q146" s="1" t="s">
        <v>43</v>
      </c>
      <c r="R146" s="1">
        <v>11435</v>
      </c>
      <c r="S146" s="6" t="s">
        <v>1403</v>
      </c>
      <c r="T146" s="7">
        <v>914001.33</v>
      </c>
      <c r="U146" s="8">
        <v>45215</v>
      </c>
      <c r="V146" s="8"/>
      <c r="W146" s="7"/>
      <c r="X146" s="8"/>
      <c r="Y146" s="7"/>
      <c r="Z146" s="1"/>
      <c r="AA146" s="1" t="s">
        <v>1404</v>
      </c>
      <c r="AB146" s="1" t="s">
        <v>1405</v>
      </c>
      <c r="AC146" s="1" t="s">
        <v>1406</v>
      </c>
      <c r="AD146" s="1" t="s">
        <v>1407</v>
      </c>
      <c r="AE146" s="1"/>
    </row>
    <row r="147" spans="1:31" x14ac:dyDescent="0.2">
      <c r="A147" s="9" t="s">
        <v>31</v>
      </c>
      <c r="B147" s="9"/>
      <c r="C147" s="10">
        <v>45912</v>
      </c>
      <c r="D147" s="9" t="s">
        <v>49</v>
      </c>
      <c r="E147" s="9"/>
      <c r="F147" s="11" t="s">
        <v>1408</v>
      </c>
      <c r="G147" s="9">
        <v>2015</v>
      </c>
      <c r="H147" s="9" t="s">
        <v>1409</v>
      </c>
      <c r="I147" s="9" t="s">
        <v>1410</v>
      </c>
      <c r="J147" s="9" t="s">
        <v>1411</v>
      </c>
      <c r="K147" s="9" t="s">
        <v>1412</v>
      </c>
      <c r="L147" s="9" t="s">
        <v>1413</v>
      </c>
      <c r="M147" s="9" t="s">
        <v>1414</v>
      </c>
      <c r="N147" s="12" t="str">
        <f>HYPERLINK("https://www.google.com/maps/search/?api=1&amp;query=244-21 149TH AVENUE, ROSEDALE, NY 11422", "OPEN MAP")</f>
        <v>OPEN MAP</v>
      </c>
      <c r="O147" s="9" t="s">
        <v>1415</v>
      </c>
      <c r="P147" s="9" t="s">
        <v>851</v>
      </c>
      <c r="Q147" s="9" t="s">
        <v>43</v>
      </c>
      <c r="R147" s="9">
        <v>11422</v>
      </c>
      <c r="S147" s="13" t="s">
        <v>1416</v>
      </c>
      <c r="T147" s="14">
        <v>913818.36</v>
      </c>
      <c r="U147" s="15">
        <v>43754</v>
      </c>
      <c r="V147" s="15"/>
      <c r="W147" s="14"/>
      <c r="X147" s="15"/>
      <c r="Y147" s="14"/>
      <c r="Z147" s="9"/>
      <c r="AA147" s="9" t="s">
        <v>1417</v>
      </c>
      <c r="AB147" s="9" t="s">
        <v>1418</v>
      </c>
      <c r="AC147" s="9"/>
      <c r="AD147" s="9" t="s">
        <v>1419</v>
      </c>
      <c r="AE147" s="9"/>
    </row>
    <row r="148" spans="1:31" x14ac:dyDescent="0.2">
      <c r="A148" s="1" t="s">
        <v>31</v>
      </c>
      <c r="B148" s="1"/>
      <c r="C148" s="3">
        <v>45912</v>
      </c>
      <c r="D148" s="1" t="s">
        <v>49</v>
      </c>
      <c r="E148" s="1"/>
      <c r="F148" s="4" t="s">
        <v>1420</v>
      </c>
      <c r="G148" s="1">
        <v>2024</v>
      </c>
      <c r="H148" s="1" t="s">
        <v>1421</v>
      </c>
      <c r="I148" s="1" t="s">
        <v>1422</v>
      </c>
      <c r="J148" s="1" t="s">
        <v>1423</v>
      </c>
      <c r="K148" s="1" t="s">
        <v>1423</v>
      </c>
      <c r="L148" s="1"/>
      <c r="M148" s="1" t="s">
        <v>1424</v>
      </c>
      <c r="N148" s="5" t="str">
        <f>HYPERLINK("https://www.google.com/maps/search/?api=1&amp;query=122-32 Montauk Street, Springfield Gardens, NY 11413", "OPEN MAP")</f>
        <v>OPEN MAP</v>
      </c>
      <c r="O148" s="1" t="s">
        <v>1425</v>
      </c>
      <c r="P148" s="1" t="s">
        <v>89</v>
      </c>
      <c r="Q148" s="1" t="s">
        <v>43</v>
      </c>
      <c r="R148" s="1">
        <v>11413</v>
      </c>
      <c r="S148" s="6" t="s">
        <v>1426</v>
      </c>
      <c r="T148" s="7"/>
      <c r="U148" s="8"/>
      <c r="V148" s="8"/>
      <c r="W148" s="7"/>
      <c r="X148" s="8"/>
      <c r="Y148" s="7"/>
      <c r="Z148" s="1" t="s">
        <v>1427</v>
      </c>
      <c r="AA148" s="1" t="s">
        <v>1428</v>
      </c>
      <c r="AB148" s="1" t="s">
        <v>1429</v>
      </c>
      <c r="AC148" s="1" t="s">
        <v>1430</v>
      </c>
      <c r="AD148" s="1"/>
      <c r="AE148" s="1"/>
    </row>
    <row r="149" spans="1:31" x14ac:dyDescent="0.2">
      <c r="A149" s="9" t="s">
        <v>31</v>
      </c>
      <c r="B149" s="9"/>
      <c r="C149" s="10">
        <v>45912</v>
      </c>
      <c r="D149" s="9" t="s">
        <v>49</v>
      </c>
      <c r="E149" s="9"/>
      <c r="F149" s="11" t="s">
        <v>1431</v>
      </c>
      <c r="G149" s="9">
        <v>2015</v>
      </c>
      <c r="H149" s="9" t="s">
        <v>1432</v>
      </c>
      <c r="I149" s="9" t="s">
        <v>233</v>
      </c>
      <c r="J149" s="9" t="s">
        <v>1433</v>
      </c>
      <c r="K149" s="9" t="s">
        <v>1433</v>
      </c>
      <c r="L149" s="9"/>
      <c r="M149" s="9" t="s">
        <v>1434</v>
      </c>
      <c r="N149" s="12" t="str">
        <f>HYPERLINK("https://www.google.com/maps/search/?api=1&amp;query=86-20 56th Avenue, Elmhurst, NY 11373", "OPEN MAP")</f>
        <v>OPEN MAP</v>
      </c>
      <c r="O149" s="9" t="s">
        <v>1435</v>
      </c>
      <c r="P149" s="9" t="s">
        <v>123</v>
      </c>
      <c r="Q149" s="9" t="s">
        <v>43</v>
      </c>
      <c r="R149" s="9">
        <v>11373</v>
      </c>
      <c r="S149" s="13" t="s">
        <v>1436</v>
      </c>
      <c r="T149" s="14">
        <v>521450.05</v>
      </c>
      <c r="U149" s="15">
        <v>42762</v>
      </c>
      <c r="V149" s="15"/>
      <c r="W149" s="14"/>
      <c r="X149" s="15"/>
      <c r="Y149" s="14"/>
      <c r="Z149" s="9"/>
      <c r="AA149" s="9" t="s">
        <v>426</v>
      </c>
      <c r="AB149" s="9" t="s">
        <v>427</v>
      </c>
      <c r="AC149" s="9"/>
      <c r="AD149" s="9" t="s">
        <v>1437</v>
      </c>
      <c r="AE149" s="9"/>
    </row>
    <row r="150" spans="1:31" x14ac:dyDescent="0.2">
      <c r="A150" s="1" t="s">
        <v>31</v>
      </c>
      <c r="B150" s="1"/>
      <c r="C150" s="3">
        <v>45912</v>
      </c>
      <c r="D150" s="1" t="s">
        <v>32</v>
      </c>
      <c r="E150" s="1"/>
      <c r="F150" s="4" t="s">
        <v>1438</v>
      </c>
      <c r="G150" s="1">
        <v>2019</v>
      </c>
      <c r="H150" s="1" t="s">
        <v>1439</v>
      </c>
      <c r="I150" s="1" t="s">
        <v>1440</v>
      </c>
      <c r="J150" s="1" t="s">
        <v>1441</v>
      </c>
      <c r="K150" s="1" t="s">
        <v>1442</v>
      </c>
      <c r="L150" s="1" t="s">
        <v>1443</v>
      </c>
      <c r="M150" s="1" t="s">
        <v>1444</v>
      </c>
      <c r="N150" s="5" t="str">
        <f>HYPERLINK("https://www.google.com/maps/search/?api=1&amp;query=203-15 104TH STREET, SAINT ALBANS, NY 11412", "OPEN MAP")</f>
        <v>OPEN MAP</v>
      </c>
      <c r="O150" s="1" t="s">
        <v>1445</v>
      </c>
      <c r="P150" s="1" t="s">
        <v>1253</v>
      </c>
      <c r="Q150" s="1" t="s">
        <v>43</v>
      </c>
      <c r="R150" s="1">
        <v>11412</v>
      </c>
      <c r="S150" s="6"/>
      <c r="T150" s="7">
        <v>479063.78</v>
      </c>
      <c r="U150" s="8">
        <v>45139</v>
      </c>
      <c r="V150" s="8"/>
      <c r="W150" s="7"/>
      <c r="X150" s="8"/>
      <c r="Y150" s="7"/>
      <c r="Z150" s="1" t="s">
        <v>1446</v>
      </c>
      <c r="AA150" s="1" t="s">
        <v>1447</v>
      </c>
      <c r="AB150" s="1" t="s">
        <v>1448</v>
      </c>
      <c r="AC150" s="1" t="s">
        <v>1449</v>
      </c>
      <c r="AD150" s="1" t="s">
        <v>1450</v>
      </c>
      <c r="AE150" s="1"/>
    </row>
    <row r="151" spans="1:31" x14ac:dyDescent="0.2">
      <c r="A151" s="9" t="s">
        <v>31</v>
      </c>
      <c r="B151" s="9"/>
      <c r="C151" s="10">
        <v>45912</v>
      </c>
      <c r="D151" s="9" t="s">
        <v>32</v>
      </c>
      <c r="E151" s="9"/>
      <c r="F151" s="11" t="s">
        <v>1451</v>
      </c>
      <c r="G151" s="9">
        <v>2022</v>
      </c>
      <c r="H151" s="9" t="s">
        <v>1452</v>
      </c>
      <c r="I151" s="9" t="s">
        <v>1453</v>
      </c>
      <c r="J151" s="9" t="s">
        <v>1454</v>
      </c>
      <c r="K151" s="9" t="s">
        <v>1455</v>
      </c>
      <c r="L151" s="9"/>
      <c r="M151" s="9" t="s">
        <v>1456</v>
      </c>
      <c r="N151" s="12" t="str">
        <f>HYPERLINK("https://www.google.com/maps/search/?api=1&amp;query=5-49 Borden Avenue, Long Island City, New York 11101", "OPEN MAP")</f>
        <v>OPEN MAP</v>
      </c>
      <c r="O151" s="9" t="s">
        <v>1457</v>
      </c>
      <c r="P151" s="9" t="s">
        <v>1458</v>
      </c>
      <c r="Q151" s="9" t="s">
        <v>251</v>
      </c>
      <c r="R151" s="9">
        <v>11101</v>
      </c>
      <c r="S151" s="13" t="s">
        <v>1459</v>
      </c>
      <c r="T151" s="14"/>
      <c r="U151" s="15"/>
      <c r="V151" s="15"/>
      <c r="W151" s="14"/>
      <c r="X151" s="15"/>
      <c r="Y151" s="14"/>
      <c r="Z151" s="9" t="s">
        <v>1460</v>
      </c>
      <c r="AA151" s="9" t="s">
        <v>1461</v>
      </c>
      <c r="AB151" s="9" t="s">
        <v>1462</v>
      </c>
      <c r="AC151" s="9" t="s">
        <v>1463</v>
      </c>
      <c r="AD151" s="9"/>
      <c r="AE151" s="9"/>
    </row>
    <row r="152" spans="1:31" x14ac:dyDescent="0.2">
      <c r="A152" s="1" t="s">
        <v>31</v>
      </c>
      <c r="B152" s="1"/>
      <c r="C152" s="3">
        <v>45912</v>
      </c>
      <c r="D152" s="1" t="s">
        <v>49</v>
      </c>
      <c r="E152" s="1"/>
      <c r="F152" s="4" t="s">
        <v>1464</v>
      </c>
      <c r="G152" s="1">
        <v>2022</v>
      </c>
      <c r="H152" s="1" t="s">
        <v>1465</v>
      </c>
      <c r="I152" s="1" t="s">
        <v>1466</v>
      </c>
      <c r="J152" s="1" t="s">
        <v>1467</v>
      </c>
      <c r="K152" s="1" t="s">
        <v>1467</v>
      </c>
      <c r="L152" s="1"/>
      <c r="M152" s="1" t="s">
        <v>1468</v>
      </c>
      <c r="N152" s="5" t="str">
        <f>HYPERLINK("https://www.google.com/maps/search/?api=1&amp;query=181-15 NORTH CONDUIT AVENUE, JAMAICA, NY 11413", "OPEN MAP")</f>
        <v>OPEN MAP</v>
      </c>
      <c r="O152" s="1" t="s">
        <v>1469</v>
      </c>
      <c r="P152" s="1" t="s">
        <v>274</v>
      </c>
      <c r="Q152" s="1" t="s">
        <v>43</v>
      </c>
      <c r="R152" s="1">
        <v>11413</v>
      </c>
      <c r="S152" s="6" t="s">
        <v>1470</v>
      </c>
      <c r="T152" s="7"/>
      <c r="U152" s="8"/>
      <c r="V152" s="8">
        <v>43832</v>
      </c>
      <c r="W152" s="7">
        <v>628000</v>
      </c>
      <c r="X152" s="8"/>
      <c r="Y152" s="7"/>
      <c r="Z152" s="1" t="s">
        <v>1471</v>
      </c>
      <c r="AA152" s="1" t="s">
        <v>720</v>
      </c>
      <c r="AB152" s="1" t="s">
        <v>1472</v>
      </c>
      <c r="AC152" s="1" t="s">
        <v>572</v>
      </c>
      <c r="AD152" s="1"/>
      <c r="AE152" s="1"/>
    </row>
    <row r="153" spans="1:31" x14ac:dyDescent="0.2">
      <c r="A153" s="9" t="s">
        <v>31</v>
      </c>
      <c r="B153" s="9"/>
      <c r="C153" s="10">
        <v>45912</v>
      </c>
      <c r="D153" s="9" t="s">
        <v>49</v>
      </c>
      <c r="E153" s="9"/>
      <c r="F153" s="11" t="s">
        <v>1473</v>
      </c>
      <c r="G153" s="9">
        <v>2016</v>
      </c>
      <c r="H153" s="9" t="s">
        <v>1474</v>
      </c>
      <c r="I153" s="9" t="s">
        <v>1475</v>
      </c>
      <c r="J153" s="9" t="s">
        <v>1476</v>
      </c>
      <c r="K153" s="9" t="s">
        <v>1476</v>
      </c>
      <c r="L153" s="9"/>
      <c r="M153" s="9" t="s">
        <v>1477</v>
      </c>
      <c r="N153" s="12" t="str">
        <f>HYPERLINK("https://www.google.com/maps/search/?api=1&amp;query=240-18 141st Avenue, Rosedale, NY 11422", "OPEN MAP")</f>
        <v>OPEN MAP</v>
      </c>
      <c r="O153" s="9" t="s">
        <v>1478</v>
      </c>
      <c r="P153" s="9" t="s">
        <v>851</v>
      </c>
      <c r="Q153" s="9" t="s">
        <v>43</v>
      </c>
      <c r="R153" s="9">
        <v>11422</v>
      </c>
      <c r="S153" s="13" t="s">
        <v>1479</v>
      </c>
      <c r="T153" s="14">
        <v>395401.16</v>
      </c>
      <c r="U153" s="15">
        <v>43207</v>
      </c>
      <c r="V153" s="15"/>
      <c r="W153" s="14"/>
      <c r="X153" s="15"/>
      <c r="Y153" s="14"/>
      <c r="Z153" s="9"/>
      <c r="AA153" s="9" t="s">
        <v>45</v>
      </c>
      <c r="AB153" s="9" t="s">
        <v>1480</v>
      </c>
      <c r="AC153" s="9" t="s">
        <v>47</v>
      </c>
      <c r="AD153" s="9" t="s">
        <v>102</v>
      </c>
      <c r="AE153" s="9"/>
    </row>
    <row r="154" spans="1:31" x14ac:dyDescent="0.2">
      <c r="A154" s="1" t="s">
        <v>31</v>
      </c>
      <c r="B154" s="1"/>
      <c r="C154" s="3">
        <v>45912</v>
      </c>
      <c r="D154" s="1" t="s">
        <v>49</v>
      </c>
      <c r="E154" s="1"/>
      <c r="F154" s="4" t="s">
        <v>1481</v>
      </c>
      <c r="G154" s="1">
        <v>2008</v>
      </c>
      <c r="H154" s="1" t="s">
        <v>1482</v>
      </c>
      <c r="I154" s="1" t="s">
        <v>1483</v>
      </c>
      <c r="J154" s="1" t="s">
        <v>1484</v>
      </c>
      <c r="K154" s="1" t="s">
        <v>1485</v>
      </c>
      <c r="L154" s="1" t="s">
        <v>1486</v>
      </c>
      <c r="M154" s="1" t="s">
        <v>1487</v>
      </c>
      <c r="N154" s="5" t="str">
        <f>HYPERLINK("https://www.google.com/maps/search/?api=1&amp;query=143-36 229th Street, Rosedale, NY 11413", "OPEN MAP")</f>
        <v>OPEN MAP</v>
      </c>
      <c r="O154" s="1" t="s">
        <v>1488</v>
      </c>
      <c r="P154" s="1" t="s">
        <v>851</v>
      </c>
      <c r="Q154" s="1" t="s">
        <v>43</v>
      </c>
      <c r="R154" s="1">
        <v>11413</v>
      </c>
      <c r="S154" s="6" t="s">
        <v>1489</v>
      </c>
      <c r="T154" s="7">
        <v>989323.69</v>
      </c>
      <c r="U154" s="8">
        <v>43084</v>
      </c>
      <c r="V154" s="8">
        <v>2007</v>
      </c>
      <c r="W154" s="7"/>
      <c r="X154" s="8"/>
      <c r="Y154" s="7"/>
      <c r="Z154" s="1"/>
      <c r="AA154" s="1" t="s">
        <v>45</v>
      </c>
      <c r="AB154" s="1" t="s">
        <v>46</v>
      </c>
      <c r="AC154" s="1" t="s">
        <v>47</v>
      </c>
      <c r="AD154" s="1" t="s">
        <v>1490</v>
      </c>
      <c r="AE154" s="1"/>
    </row>
    <row r="155" spans="1:31" x14ac:dyDescent="0.2">
      <c r="A155" s="9" t="s">
        <v>115</v>
      </c>
      <c r="B155" s="9"/>
      <c r="C155" s="10">
        <v>45912</v>
      </c>
      <c r="D155" s="9" t="s">
        <v>32</v>
      </c>
      <c r="E155" s="9"/>
      <c r="F155" s="11" t="s">
        <v>1491</v>
      </c>
      <c r="G155" s="9">
        <v>2011</v>
      </c>
      <c r="H155" s="9" t="s">
        <v>1492</v>
      </c>
      <c r="I155" s="9" t="s">
        <v>1493</v>
      </c>
      <c r="J155" s="9" t="s">
        <v>1494</v>
      </c>
      <c r="K155" s="9" t="s">
        <v>1495</v>
      </c>
      <c r="L155" s="9" t="s">
        <v>1496</v>
      </c>
      <c r="M155" s="9" t="s">
        <v>1497</v>
      </c>
      <c r="N155" s="12" t="str">
        <f>HYPERLINK("https://www.google.com/maps/search/?api=1&amp;query=134-52 234th St, Rosedale, NY 11422", "OPEN MAP")</f>
        <v>OPEN MAP</v>
      </c>
      <c r="O155" s="9" t="s">
        <v>1498</v>
      </c>
      <c r="P155" s="9" t="s">
        <v>851</v>
      </c>
      <c r="Q155" s="9" t="s">
        <v>43</v>
      </c>
      <c r="R155" s="9">
        <v>11422</v>
      </c>
      <c r="S155" s="13" t="s">
        <v>1499</v>
      </c>
      <c r="T155" s="14">
        <v>646557.36</v>
      </c>
      <c r="U155" s="15">
        <v>43871</v>
      </c>
      <c r="V155" s="15">
        <v>2006</v>
      </c>
      <c r="W155" s="14"/>
      <c r="X155" s="15"/>
      <c r="Y155" s="14"/>
      <c r="Z155" s="9"/>
      <c r="AA155" s="9" t="s">
        <v>126</v>
      </c>
      <c r="AB155" s="9" t="s">
        <v>199</v>
      </c>
      <c r="AC155" s="9" t="s">
        <v>1500</v>
      </c>
      <c r="AD155" s="9" t="s">
        <v>1501</v>
      </c>
      <c r="AE155" s="9"/>
    </row>
    <row r="156" spans="1:31" x14ac:dyDescent="0.2">
      <c r="A156" s="1" t="s">
        <v>115</v>
      </c>
      <c r="B156" s="1"/>
      <c r="C156" s="3">
        <v>45912</v>
      </c>
      <c r="D156" s="1" t="s">
        <v>32</v>
      </c>
      <c r="E156" s="1"/>
      <c r="F156" s="4" t="s">
        <v>1502</v>
      </c>
      <c r="G156" s="1">
        <v>2023</v>
      </c>
      <c r="H156" s="1" t="s">
        <v>1503</v>
      </c>
      <c r="I156" s="1" t="s">
        <v>1504</v>
      </c>
      <c r="J156" s="1" t="s">
        <v>1505</v>
      </c>
      <c r="K156" s="1" t="s">
        <v>1505</v>
      </c>
      <c r="L156" s="1"/>
      <c r="M156" s="1" t="s">
        <v>1506</v>
      </c>
      <c r="N156" s="5" t="str">
        <f>HYPERLINK("https://www.google.com/maps/search/?api=1&amp;query=155-28 113th Avenue, Jamacia, NY 11433", "OPEN MAP")</f>
        <v>OPEN MAP</v>
      </c>
      <c r="O156" s="1" t="s">
        <v>1507</v>
      </c>
      <c r="P156" s="1" t="s">
        <v>1508</v>
      </c>
      <c r="Q156" s="1" t="s">
        <v>43</v>
      </c>
      <c r="R156" s="1">
        <v>11433</v>
      </c>
      <c r="S156" s="6" t="s">
        <v>1509</v>
      </c>
      <c r="T156" s="7"/>
      <c r="U156" s="8"/>
      <c r="V156" s="8">
        <v>39058</v>
      </c>
      <c r="W156" s="7">
        <v>544185</v>
      </c>
      <c r="X156" s="8"/>
      <c r="Y156" s="7"/>
      <c r="Z156" s="1" t="s">
        <v>1510</v>
      </c>
      <c r="AA156" s="1" t="s">
        <v>1511</v>
      </c>
      <c r="AB156" s="1" t="s">
        <v>329</v>
      </c>
      <c r="AC156" s="1" t="s">
        <v>1512</v>
      </c>
      <c r="AD156" s="1"/>
      <c r="AE156" s="1"/>
    </row>
    <row r="157" spans="1:31" x14ac:dyDescent="0.2">
      <c r="A157" s="9" t="s">
        <v>31</v>
      </c>
      <c r="B157" s="9"/>
      <c r="C157" s="10">
        <v>45912</v>
      </c>
      <c r="D157" s="9" t="s">
        <v>32</v>
      </c>
      <c r="E157" s="9"/>
      <c r="F157" s="11" t="s">
        <v>1513</v>
      </c>
      <c r="G157" s="9">
        <v>2019</v>
      </c>
      <c r="H157" s="9" t="s">
        <v>1514</v>
      </c>
      <c r="I157" s="9" t="s">
        <v>1515</v>
      </c>
      <c r="J157" s="9" t="s">
        <v>1516</v>
      </c>
      <c r="K157" s="9" t="s">
        <v>1517</v>
      </c>
      <c r="L157" s="9" t="s">
        <v>1518</v>
      </c>
      <c r="M157" s="9" t="s">
        <v>1519</v>
      </c>
      <c r="N157" s="12" t="str">
        <f>HYPERLINK("https://www.google.com/maps/search/?api=1&amp;query=119-48 193RD STREET, SAINT ALBANS, NY 11412", "OPEN MAP")</f>
        <v>OPEN MAP</v>
      </c>
      <c r="O157" s="9" t="s">
        <v>1520</v>
      </c>
      <c r="P157" s="9" t="s">
        <v>1253</v>
      </c>
      <c r="Q157" s="9" t="s">
        <v>43</v>
      </c>
      <c r="R157" s="9">
        <v>11412</v>
      </c>
      <c r="S157" s="13" t="s">
        <v>1521</v>
      </c>
      <c r="T157" s="14">
        <v>145000</v>
      </c>
      <c r="U157" s="15"/>
      <c r="V157" s="15">
        <v>39125</v>
      </c>
      <c r="W157" s="14">
        <v>145000</v>
      </c>
      <c r="X157" s="15"/>
      <c r="Y157" s="14"/>
      <c r="Z157" s="9" t="s">
        <v>1522</v>
      </c>
      <c r="AA157" s="9" t="s">
        <v>1345</v>
      </c>
      <c r="AB157" s="9" t="s">
        <v>1346</v>
      </c>
      <c r="AC157" s="9" t="s">
        <v>1347</v>
      </c>
      <c r="AD157" s="9"/>
      <c r="AE157" s="9"/>
    </row>
    <row r="158" spans="1:31" x14ac:dyDescent="0.2">
      <c r="A158" s="1" t="s">
        <v>115</v>
      </c>
      <c r="B158" s="1"/>
      <c r="C158" s="3">
        <v>45916</v>
      </c>
      <c r="D158" s="1" t="s">
        <v>32</v>
      </c>
      <c r="E158" s="1"/>
      <c r="F158" s="4" t="s">
        <v>1523</v>
      </c>
      <c r="G158" s="1">
        <v>2023</v>
      </c>
      <c r="H158" s="1" t="s">
        <v>1524</v>
      </c>
      <c r="I158" s="1" t="s">
        <v>1525</v>
      </c>
      <c r="J158" s="1" t="s">
        <v>1526</v>
      </c>
      <c r="K158" s="1" t="s">
        <v>1527</v>
      </c>
      <c r="L158" s="1" t="s">
        <v>1528</v>
      </c>
      <c r="M158" s="1" t="s">
        <v>1529</v>
      </c>
      <c r="N158" s="5" t="str">
        <f>HYPERLINK("https://www.google.com/maps/search/?api=1&amp;query=62-54 83rd Street, Middle Village, NY 11379", "OPEN MAP")</f>
        <v>OPEN MAP</v>
      </c>
      <c r="O158" s="1" t="s">
        <v>1530</v>
      </c>
      <c r="P158" s="1" t="s">
        <v>1531</v>
      </c>
      <c r="Q158" s="1" t="s">
        <v>43</v>
      </c>
      <c r="R158" s="1">
        <v>11379</v>
      </c>
      <c r="S158" s="6" t="s">
        <v>1532</v>
      </c>
      <c r="T158" s="7"/>
      <c r="U158" s="8"/>
      <c r="V158" s="8">
        <v>43126</v>
      </c>
      <c r="W158" s="7">
        <v>360000</v>
      </c>
      <c r="X158" s="8"/>
      <c r="Y158" s="7"/>
      <c r="Z158" s="1" t="s">
        <v>1533</v>
      </c>
      <c r="AA158" s="1" t="s">
        <v>1227</v>
      </c>
      <c r="AB158" s="1" t="s">
        <v>46</v>
      </c>
      <c r="AC158" s="1" t="s">
        <v>114</v>
      </c>
      <c r="AD158" s="1"/>
      <c r="AE158" s="1"/>
    </row>
    <row r="159" spans="1:31" x14ac:dyDescent="0.2">
      <c r="A159" s="9" t="s">
        <v>31</v>
      </c>
      <c r="B159" s="9"/>
      <c r="C159" s="10">
        <v>45919</v>
      </c>
      <c r="D159" s="9" t="s">
        <v>49</v>
      </c>
      <c r="E159" s="9"/>
      <c r="F159" s="11" t="s">
        <v>1534</v>
      </c>
      <c r="G159" s="9">
        <v>2020</v>
      </c>
      <c r="H159" s="9" t="s">
        <v>1535</v>
      </c>
      <c r="I159" s="9" t="s">
        <v>1536</v>
      </c>
      <c r="J159" s="9" t="s">
        <v>1537</v>
      </c>
      <c r="K159" s="9" t="s">
        <v>1538</v>
      </c>
      <c r="L159" s="9" t="s">
        <v>1539</v>
      </c>
      <c r="M159" s="9" t="s">
        <v>1540</v>
      </c>
      <c r="N159" s="12" t="str">
        <f>HYPERLINK("https://www.google.com/maps/search/?api=1&amp;query=144-45 SPRINGFIELD BOULEVARD, JAMAICA, NY 11413-3453", "OPEN MAP")</f>
        <v>OPEN MAP</v>
      </c>
      <c r="O159" s="9" t="s">
        <v>1541</v>
      </c>
      <c r="P159" s="9" t="s">
        <v>274</v>
      </c>
      <c r="Q159" s="9" t="s">
        <v>43</v>
      </c>
      <c r="R159" s="9" t="s">
        <v>1542</v>
      </c>
      <c r="S159" s="13" t="s">
        <v>1543</v>
      </c>
      <c r="T159" s="14"/>
      <c r="U159" s="15">
        <v>45791</v>
      </c>
      <c r="V159" s="15"/>
      <c r="W159" s="14"/>
      <c r="X159" s="15"/>
      <c r="Y159" s="14"/>
      <c r="Z159" s="9"/>
      <c r="AA159" s="9" t="s">
        <v>60</v>
      </c>
      <c r="AB159" s="9" t="s">
        <v>61</v>
      </c>
      <c r="AC159" s="9"/>
      <c r="AD159" s="9" t="s">
        <v>1544</v>
      </c>
      <c r="AE159" s="9"/>
    </row>
    <row r="160" spans="1:31" x14ac:dyDescent="0.2">
      <c r="A160" s="1" t="s">
        <v>31</v>
      </c>
      <c r="B160" s="1"/>
      <c r="C160" s="3">
        <v>45919</v>
      </c>
      <c r="D160" s="1" t="s">
        <v>49</v>
      </c>
      <c r="E160" s="1"/>
      <c r="F160" s="4" t="s">
        <v>1545</v>
      </c>
      <c r="G160" s="1">
        <v>2008</v>
      </c>
      <c r="H160" s="1" t="s">
        <v>1546</v>
      </c>
      <c r="I160" s="1" t="s">
        <v>1290</v>
      </c>
      <c r="J160" s="1" t="s">
        <v>1547</v>
      </c>
      <c r="K160" s="1" t="s">
        <v>1547</v>
      </c>
      <c r="L160" s="1"/>
      <c r="M160" s="1" t="s">
        <v>1548</v>
      </c>
      <c r="N160" s="5" t="str">
        <f>HYPERLINK("https://www.google.com/maps/search/?api=1&amp;query=32-28 86th St., Jackson Heights, NY 11372", "OPEN MAP")</f>
        <v>OPEN MAP</v>
      </c>
      <c r="O160" s="1" t="s">
        <v>1549</v>
      </c>
      <c r="P160" s="1" t="s">
        <v>1550</v>
      </c>
      <c r="Q160" s="1" t="s">
        <v>43</v>
      </c>
      <c r="R160" s="1">
        <v>11372</v>
      </c>
      <c r="S160" s="6" t="s">
        <v>1551</v>
      </c>
      <c r="T160" s="7">
        <v>1098956.3700000001</v>
      </c>
      <c r="U160" s="8">
        <v>43497</v>
      </c>
      <c r="V160" s="8"/>
      <c r="W160" s="7"/>
      <c r="X160" s="8"/>
      <c r="Y160" s="7"/>
      <c r="Z160" s="1" t="s">
        <v>1552</v>
      </c>
      <c r="AA160" s="1" t="s">
        <v>708</v>
      </c>
      <c r="AB160" s="1" t="s">
        <v>709</v>
      </c>
      <c r="AC160" s="1"/>
      <c r="AD160" s="1" t="s">
        <v>1552</v>
      </c>
      <c r="AE160" s="1"/>
    </row>
    <row r="161" spans="1:31" x14ac:dyDescent="0.2">
      <c r="A161" s="9" t="s">
        <v>31</v>
      </c>
      <c r="B161" s="9"/>
      <c r="C161" s="10">
        <v>45919</v>
      </c>
      <c r="D161" s="9" t="s">
        <v>32</v>
      </c>
      <c r="E161" s="9"/>
      <c r="F161" s="11" t="s">
        <v>1553</v>
      </c>
      <c r="G161" s="9">
        <v>2024</v>
      </c>
      <c r="H161" s="9" t="s">
        <v>1554</v>
      </c>
      <c r="I161" s="9" t="s">
        <v>233</v>
      </c>
      <c r="J161" s="9" t="s">
        <v>1555</v>
      </c>
      <c r="K161" s="9" t="s">
        <v>1556</v>
      </c>
      <c r="L161" s="9" t="s">
        <v>1557</v>
      </c>
      <c r="M161" s="9" t="s">
        <v>1558</v>
      </c>
      <c r="N161" s="12" t="str">
        <f>HYPERLINK("https://www.google.com/maps/search/?api=1&amp;query=115-55 122nd Street, South Ozone Park, NY 11420", "OPEN MAP")</f>
        <v>OPEN MAP</v>
      </c>
      <c r="O161" s="9" t="s">
        <v>1559</v>
      </c>
      <c r="P161" s="9" t="s">
        <v>237</v>
      </c>
      <c r="Q161" s="9" t="s">
        <v>43</v>
      </c>
      <c r="R161" s="9">
        <v>11420</v>
      </c>
      <c r="S161" s="13" t="s">
        <v>1560</v>
      </c>
      <c r="T161" s="14">
        <v>643996.42000000004</v>
      </c>
      <c r="U161" s="15">
        <v>45713</v>
      </c>
      <c r="V161" s="15"/>
      <c r="W161" s="14"/>
      <c r="X161" s="15"/>
      <c r="Y161" s="14"/>
      <c r="Z161" s="9"/>
      <c r="AA161" s="9" t="s">
        <v>91</v>
      </c>
      <c r="AB161" s="9" t="s">
        <v>92</v>
      </c>
      <c r="AC161" s="9"/>
      <c r="AD161" s="9" t="s">
        <v>1561</v>
      </c>
      <c r="AE161" s="9"/>
    </row>
    <row r="162" spans="1:31" x14ac:dyDescent="0.2">
      <c r="A162" s="1" t="s">
        <v>31</v>
      </c>
      <c r="B162" s="1"/>
      <c r="C162" s="3">
        <v>45919</v>
      </c>
      <c r="D162" s="1" t="s">
        <v>32</v>
      </c>
      <c r="E162" s="1"/>
      <c r="F162" s="4" t="s">
        <v>1562</v>
      </c>
      <c r="G162" s="1">
        <v>2015</v>
      </c>
      <c r="H162" s="1" t="s">
        <v>1563</v>
      </c>
      <c r="I162" s="1" t="s">
        <v>1564</v>
      </c>
      <c r="J162" s="1" t="s">
        <v>1565</v>
      </c>
      <c r="K162" s="1" t="s">
        <v>1566</v>
      </c>
      <c r="L162" s="1" t="s">
        <v>1567</v>
      </c>
      <c r="M162" s="1" t="s">
        <v>1568</v>
      </c>
      <c r="N162" s="5" t="str">
        <f>HYPERLINK("https://www.google.com/maps/search/?api=1&amp;query=119-10 18th Ave, College Point, NY 11356", "OPEN MAP")</f>
        <v>OPEN MAP</v>
      </c>
      <c r="O162" s="1" t="s">
        <v>1569</v>
      </c>
      <c r="P162" s="1" t="s">
        <v>1570</v>
      </c>
      <c r="Q162" s="1" t="s">
        <v>43</v>
      </c>
      <c r="R162" s="1">
        <v>11356</v>
      </c>
      <c r="S162" s="6" t="s">
        <v>1571</v>
      </c>
      <c r="T162" s="7">
        <v>981950.76</v>
      </c>
      <c r="U162" s="8">
        <v>45446</v>
      </c>
      <c r="V162" s="8"/>
      <c r="W162" s="7"/>
      <c r="X162" s="8"/>
      <c r="Y162" s="7"/>
      <c r="Z162" s="1"/>
      <c r="AA162" s="1" t="s">
        <v>1325</v>
      </c>
      <c r="AB162" s="1" t="s">
        <v>309</v>
      </c>
      <c r="AC162" s="1"/>
      <c r="AD162" s="1" t="s">
        <v>1572</v>
      </c>
      <c r="AE162" s="1"/>
    </row>
    <row r="163" spans="1:31" x14ac:dyDescent="0.2">
      <c r="A163" s="9" t="s">
        <v>31</v>
      </c>
      <c r="B163" s="9"/>
      <c r="C163" s="10">
        <v>45919</v>
      </c>
      <c r="D163" s="9" t="s">
        <v>49</v>
      </c>
      <c r="E163" s="9"/>
      <c r="F163" s="11" t="s">
        <v>1573</v>
      </c>
      <c r="G163" s="9">
        <v>2020</v>
      </c>
      <c r="H163" s="9" t="s">
        <v>1574</v>
      </c>
      <c r="I163" s="9" t="s">
        <v>1575</v>
      </c>
      <c r="J163" s="9" t="s">
        <v>1576</v>
      </c>
      <c r="K163" s="9" t="s">
        <v>1576</v>
      </c>
      <c r="L163" s="9"/>
      <c r="M163" s="9" t="s">
        <v>1577</v>
      </c>
      <c r="N163" s="12" t="str">
        <f>HYPERLINK("https://www.google.com/maps/search/?api=1&amp;query=106-53 150th Street, Jamaica, NY 11435", "OPEN MAP")</f>
        <v>OPEN MAP</v>
      </c>
      <c r="O163" s="9" t="s">
        <v>1578</v>
      </c>
      <c r="P163" s="9" t="s">
        <v>42</v>
      </c>
      <c r="Q163" s="9" t="s">
        <v>43</v>
      </c>
      <c r="R163" s="9">
        <v>11435</v>
      </c>
      <c r="S163" s="13" t="s">
        <v>1579</v>
      </c>
      <c r="T163" s="14">
        <v>1177627.96</v>
      </c>
      <c r="U163" s="15">
        <v>45596</v>
      </c>
      <c r="V163" s="15"/>
      <c r="W163" s="14"/>
      <c r="X163" s="15"/>
      <c r="Y163" s="14"/>
      <c r="Z163" s="9"/>
      <c r="AA163" s="9" t="s">
        <v>426</v>
      </c>
      <c r="AB163" s="9" t="s">
        <v>601</v>
      </c>
      <c r="AC163" s="9"/>
      <c r="AD163" s="9" t="s">
        <v>1580</v>
      </c>
      <c r="AE163" s="9"/>
    </row>
    <row r="164" spans="1:31" x14ac:dyDescent="0.2">
      <c r="A164" s="1" t="s">
        <v>115</v>
      </c>
      <c r="B164" s="1"/>
      <c r="C164" s="3">
        <v>45919</v>
      </c>
      <c r="D164" s="1" t="s">
        <v>32</v>
      </c>
      <c r="E164" s="1" t="s">
        <v>33</v>
      </c>
      <c r="F164" s="4" t="s">
        <v>1581</v>
      </c>
      <c r="G164" s="1">
        <v>2014</v>
      </c>
      <c r="H164" s="1" t="s">
        <v>1582</v>
      </c>
      <c r="I164" s="1" t="s">
        <v>233</v>
      </c>
      <c r="J164" s="1" t="s">
        <v>1583</v>
      </c>
      <c r="K164" s="1" t="s">
        <v>1583</v>
      </c>
      <c r="L164" s="1"/>
      <c r="M164" s="1" t="s">
        <v>1584</v>
      </c>
      <c r="N164" s="5" t="str">
        <f>HYPERLINK("https://www.google.com/maps/search/?api=1&amp;query=126 20 89th Ave, Richmond Hill, NY 11418", "OPEN MAP")</f>
        <v>OPEN MAP</v>
      </c>
      <c r="O164" s="1" t="s">
        <v>1585</v>
      </c>
      <c r="P164" s="1" t="s">
        <v>453</v>
      </c>
      <c r="Q164" s="1" t="s">
        <v>43</v>
      </c>
      <c r="R164" s="1">
        <v>11418</v>
      </c>
      <c r="S164" s="6" t="s">
        <v>1586</v>
      </c>
      <c r="T164" s="7">
        <v>742878.31</v>
      </c>
      <c r="U164" s="8">
        <v>42100</v>
      </c>
      <c r="V164" s="8"/>
      <c r="W164" s="7"/>
      <c r="X164" s="8"/>
      <c r="Y164" s="7"/>
      <c r="Z164" s="1"/>
      <c r="AA164" s="1" t="s">
        <v>126</v>
      </c>
      <c r="AB164" s="1" t="s">
        <v>1587</v>
      </c>
      <c r="AC164" s="1" t="s">
        <v>128</v>
      </c>
      <c r="AD164" s="1" t="s">
        <v>1588</v>
      </c>
      <c r="AE164" s="1"/>
    </row>
    <row r="165" spans="1:31" x14ac:dyDescent="0.2">
      <c r="A165" s="9" t="s">
        <v>31</v>
      </c>
      <c r="B165" s="9"/>
      <c r="C165" s="10">
        <v>45919</v>
      </c>
      <c r="D165" s="9" t="s">
        <v>49</v>
      </c>
      <c r="E165" s="9"/>
      <c r="F165" s="11" t="s">
        <v>1589</v>
      </c>
      <c r="G165" s="9">
        <v>2016</v>
      </c>
      <c r="H165" s="9" t="s">
        <v>1590</v>
      </c>
      <c r="I165" s="9" t="s">
        <v>1591</v>
      </c>
      <c r="J165" s="9" t="s">
        <v>1592</v>
      </c>
      <c r="K165" s="9" t="s">
        <v>1592</v>
      </c>
      <c r="L165" s="9"/>
      <c r="M165" s="9" t="s">
        <v>1593</v>
      </c>
      <c r="N165" s="12" t="str">
        <f>HYPERLINK("https://www.google.com/maps/search/?api=1&amp;query=2519 97th Street, East Elmhurst, New York 11369", "OPEN MAP")</f>
        <v>OPEN MAP</v>
      </c>
      <c r="O165" s="9" t="s">
        <v>1594</v>
      </c>
      <c r="P165" s="9" t="s">
        <v>559</v>
      </c>
      <c r="Q165" s="9" t="s">
        <v>251</v>
      </c>
      <c r="R165" s="9">
        <v>11369</v>
      </c>
      <c r="S165" s="13" t="s">
        <v>1595</v>
      </c>
      <c r="T165" s="14">
        <v>733269.34</v>
      </c>
      <c r="U165" s="15">
        <v>43836</v>
      </c>
      <c r="V165" s="15"/>
      <c r="W165" s="14"/>
      <c r="X165" s="15"/>
      <c r="Y165" s="14"/>
      <c r="Z165" s="9"/>
      <c r="AA165" s="9" t="s">
        <v>415</v>
      </c>
      <c r="AB165" s="9" t="s">
        <v>416</v>
      </c>
      <c r="AC165" s="9"/>
      <c r="AD165" s="9" t="s">
        <v>1596</v>
      </c>
      <c r="AE165" s="9"/>
    </row>
    <row r="166" spans="1:31" x14ac:dyDescent="0.2">
      <c r="A166" s="1" t="s">
        <v>115</v>
      </c>
      <c r="B166" s="1"/>
      <c r="C166" s="3">
        <v>45919</v>
      </c>
      <c r="D166" s="1" t="s">
        <v>32</v>
      </c>
      <c r="E166" s="1"/>
      <c r="F166" s="4" t="s">
        <v>1597</v>
      </c>
      <c r="G166" s="1">
        <v>2014</v>
      </c>
      <c r="H166" s="1" t="s">
        <v>1598</v>
      </c>
      <c r="I166" s="1" t="s">
        <v>1599</v>
      </c>
      <c r="J166" s="1" t="s">
        <v>1600</v>
      </c>
      <c r="K166" s="1" t="s">
        <v>1600</v>
      </c>
      <c r="L166" s="1"/>
      <c r="M166" s="1" t="s">
        <v>1601</v>
      </c>
      <c r="N166" s="5" t="str">
        <f>HYPERLINK("https://www.google.com/maps/search/?api=1&amp;query=30-20 Lewmay Road, Far Rockaway, NY 11691", "OPEN MAP")</f>
        <v>OPEN MAP</v>
      </c>
      <c r="O166" s="1" t="s">
        <v>1602</v>
      </c>
      <c r="P166" s="1" t="s">
        <v>138</v>
      </c>
      <c r="Q166" s="1" t="s">
        <v>43</v>
      </c>
      <c r="R166" s="1">
        <v>11691</v>
      </c>
      <c r="S166" s="6" t="s">
        <v>1603</v>
      </c>
      <c r="T166" s="7">
        <v>1190076.22</v>
      </c>
      <c r="U166" s="8">
        <v>45617</v>
      </c>
      <c r="V166" s="8"/>
      <c r="W166" s="7"/>
      <c r="X166" s="8"/>
      <c r="Y166" s="7"/>
      <c r="Z166" s="1"/>
      <c r="AA166" s="1" t="s">
        <v>348</v>
      </c>
      <c r="AB166" s="1" t="s">
        <v>349</v>
      </c>
      <c r="AC166" s="1"/>
      <c r="AD166" s="1" t="s">
        <v>1604</v>
      </c>
      <c r="AE166" s="1"/>
    </row>
    <row r="167" spans="1:31" x14ac:dyDescent="0.2">
      <c r="A167" s="9" t="s">
        <v>31</v>
      </c>
      <c r="B167" s="9"/>
      <c r="C167" s="10">
        <v>45919</v>
      </c>
      <c r="D167" s="9" t="s">
        <v>49</v>
      </c>
      <c r="E167" s="9"/>
      <c r="F167" s="11" t="s">
        <v>1605</v>
      </c>
      <c r="G167" s="9">
        <v>2021</v>
      </c>
      <c r="H167" s="9" t="s">
        <v>1606</v>
      </c>
      <c r="I167" s="9" t="s">
        <v>1607</v>
      </c>
      <c r="J167" s="9" t="s">
        <v>1608</v>
      </c>
      <c r="K167" s="9" t="s">
        <v>1608</v>
      </c>
      <c r="L167" s="9"/>
      <c r="M167" s="9" t="s">
        <v>1609</v>
      </c>
      <c r="N167" s="12" t="str">
        <f>HYPERLINK("https://www.google.com/maps/search/?api=1&amp;query=1063 Jackson Avenue, Apt. 4G, Long Island City, New York 11101", "OPEN MAP")</f>
        <v>OPEN MAP</v>
      </c>
      <c r="O167" s="9" t="s">
        <v>1610</v>
      </c>
      <c r="P167" s="9" t="s">
        <v>1458</v>
      </c>
      <c r="Q167" s="9" t="s">
        <v>251</v>
      </c>
      <c r="R167" s="9">
        <v>11101</v>
      </c>
      <c r="S167" s="13" t="s">
        <v>1611</v>
      </c>
      <c r="T167" s="14"/>
      <c r="U167" s="15">
        <v>45847</v>
      </c>
      <c r="V167" s="15"/>
      <c r="W167" s="14"/>
      <c r="X167" s="15"/>
      <c r="Y167" s="14"/>
      <c r="Z167" s="9"/>
      <c r="AA167" s="9" t="s">
        <v>1612</v>
      </c>
      <c r="AB167" s="9" t="s">
        <v>1613</v>
      </c>
      <c r="AC167" s="9" t="s">
        <v>1614</v>
      </c>
      <c r="AD167" s="9" t="s">
        <v>1133</v>
      </c>
      <c r="AE167" s="9"/>
    </row>
    <row r="168" spans="1:31" x14ac:dyDescent="0.2">
      <c r="A168" s="1" t="s">
        <v>31</v>
      </c>
      <c r="B168" s="1"/>
      <c r="C168" s="3">
        <v>45919</v>
      </c>
      <c r="D168" s="1" t="s">
        <v>49</v>
      </c>
      <c r="E168" s="1"/>
      <c r="F168" s="4" t="s">
        <v>1615</v>
      </c>
      <c r="G168" s="1">
        <v>2022</v>
      </c>
      <c r="H168" s="1" t="s">
        <v>1616</v>
      </c>
      <c r="I168" s="1" t="s">
        <v>683</v>
      </c>
      <c r="J168" s="1" t="s">
        <v>1617</v>
      </c>
      <c r="K168" s="1" t="s">
        <v>1617</v>
      </c>
      <c r="L168" s="1"/>
      <c r="M168" s="1" t="s">
        <v>1618</v>
      </c>
      <c r="N168" s="5" t="str">
        <f>HYPERLINK("https://www.google.com/maps/search/?api=1&amp;query=69-32 Burchell Avenue a/k/a 6932 Burchell Avenue, Arverne, NY 11692", "OPEN MAP")</f>
        <v>OPEN MAP</v>
      </c>
      <c r="O168" s="1" t="s">
        <v>1619</v>
      </c>
      <c r="P168" s="1" t="s">
        <v>480</v>
      </c>
      <c r="Q168" s="1" t="s">
        <v>43</v>
      </c>
      <c r="R168" s="1">
        <v>11692</v>
      </c>
      <c r="S168" s="6" t="s">
        <v>1620</v>
      </c>
      <c r="T168" s="7">
        <v>312382.74</v>
      </c>
      <c r="U168" s="8">
        <v>45483</v>
      </c>
      <c r="V168" s="8"/>
      <c r="W168" s="7"/>
      <c r="X168" s="8"/>
      <c r="Y168" s="7"/>
      <c r="Z168" s="1"/>
      <c r="AA168" s="1" t="s">
        <v>426</v>
      </c>
      <c r="AB168" s="1" t="s">
        <v>427</v>
      </c>
      <c r="AC168" s="1"/>
      <c r="AD168" s="1" t="s">
        <v>1621</v>
      </c>
      <c r="AE168" s="1"/>
    </row>
    <row r="169" spans="1:31" x14ac:dyDescent="0.2">
      <c r="A169" s="9" t="s">
        <v>115</v>
      </c>
      <c r="B169" s="9"/>
      <c r="C169" s="10">
        <v>45919</v>
      </c>
      <c r="D169" s="9" t="s">
        <v>49</v>
      </c>
      <c r="E169" s="9"/>
      <c r="F169" s="11" t="s">
        <v>1622</v>
      </c>
      <c r="G169" s="9">
        <v>2018</v>
      </c>
      <c r="H169" s="9" t="s">
        <v>1623</v>
      </c>
      <c r="I169" s="9" t="s">
        <v>1624</v>
      </c>
      <c r="J169" s="9" t="s">
        <v>1625</v>
      </c>
      <c r="K169" s="9" t="s">
        <v>1626</v>
      </c>
      <c r="L169" s="9" t="s">
        <v>1627</v>
      </c>
      <c r="M169" s="9" t="s">
        <v>1628</v>
      </c>
      <c r="N169" s="12" t="str">
        <f>HYPERLINK("https://www.google.com/maps/search/?api=1&amp;query=179-24 137th Avenue a/k/a 17924 137th Avenue Springfield Gardens a/k/a Jamaica, NY 11434", "OPEN MAP")</f>
        <v>OPEN MAP</v>
      </c>
      <c r="O169" s="9" t="s">
        <v>1629</v>
      </c>
      <c r="P169" s="9" t="s">
        <v>42</v>
      </c>
      <c r="Q169" s="9" t="s">
        <v>43</v>
      </c>
      <c r="R169" s="9">
        <v>11434</v>
      </c>
      <c r="S169" s="13" t="s">
        <v>1630</v>
      </c>
      <c r="T169" s="14">
        <v>372527.56</v>
      </c>
      <c r="U169" s="15">
        <v>44713</v>
      </c>
      <c r="V169" s="15"/>
      <c r="W169" s="14"/>
      <c r="X169" s="15"/>
      <c r="Y169" s="14"/>
      <c r="Z169" s="9"/>
      <c r="AA169" s="9" t="s">
        <v>126</v>
      </c>
      <c r="AB169" s="9" t="s">
        <v>199</v>
      </c>
      <c r="AC169" s="9" t="s">
        <v>128</v>
      </c>
      <c r="AD169" s="9" t="s">
        <v>1561</v>
      </c>
      <c r="AE169" s="9"/>
    </row>
    <row r="170" spans="1:31" x14ac:dyDescent="0.2">
      <c r="A170" s="1" t="s">
        <v>31</v>
      </c>
      <c r="B170" s="1"/>
      <c r="C170" s="3">
        <v>45919</v>
      </c>
      <c r="D170" s="1" t="s">
        <v>49</v>
      </c>
      <c r="E170" s="1"/>
      <c r="F170" s="4" t="s">
        <v>1631</v>
      </c>
      <c r="G170" s="1">
        <v>2019</v>
      </c>
      <c r="H170" s="1" t="s">
        <v>1632</v>
      </c>
      <c r="I170" s="1" t="s">
        <v>1575</v>
      </c>
      <c r="J170" s="1" t="s">
        <v>1633</v>
      </c>
      <c r="K170" s="1" t="s">
        <v>1633</v>
      </c>
      <c r="L170" s="1"/>
      <c r="M170" s="1" t="s">
        <v>1634</v>
      </c>
      <c r="N170" s="5" t="str">
        <f>HYPERLINK("https://www.google.com/maps/search/?api=1&amp;query=216 Beach 31st Street, Far Rockaway, NY 11691", "OPEN MAP")</f>
        <v>OPEN MAP</v>
      </c>
      <c r="O170" s="1" t="s">
        <v>1635</v>
      </c>
      <c r="P170" s="1" t="s">
        <v>138</v>
      </c>
      <c r="Q170" s="1" t="s">
        <v>43</v>
      </c>
      <c r="R170" s="1">
        <v>11691</v>
      </c>
      <c r="S170" s="6" t="s">
        <v>1636</v>
      </c>
      <c r="T170" s="7">
        <v>666773.4</v>
      </c>
      <c r="U170" s="8">
        <v>45583</v>
      </c>
      <c r="V170" s="8"/>
      <c r="W170" s="7"/>
      <c r="X170" s="8"/>
      <c r="Y170" s="7"/>
      <c r="Z170" s="1"/>
      <c r="AA170" s="1" t="s">
        <v>426</v>
      </c>
      <c r="AB170" s="1" t="s">
        <v>601</v>
      </c>
      <c r="AC170" s="1"/>
      <c r="AD170" s="1" t="s">
        <v>1621</v>
      </c>
      <c r="AE170" s="1"/>
    </row>
    <row r="171" spans="1:31" x14ac:dyDescent="0.2">
      <c r="A171" s="9" t="s">
        <v>31</v>
      </c>
      <c r="B171" s="9"/>
      <c r="C171" s="10">
        <v>45919</v>
      </c>
      <c r="D171" s="9" t="s">
        <v>49</v>
      </c>
      <c r="E171" s="9"/>
      <c r="F171" s="11" t="s">
        <v>1637</v>
      </c>
      <c r="G171" s="9">
        <v>2015</v>
      </c>
      <c r="H171" s="9" t="s">
        <v>1638</v>
      </c>
      <c r="I171" s="9" t="s">
        <v>144</v>
      </c>
      <c r="J171" s="9" t="s">
        <v>1639</v>
      </c>
      <c r="K171" s="9" t="s">
        <v>1640</v>
      </c>
      <c r="L171" s="9" t="s">
        <v>1641</v>
      </c>
      <c r="M171" s="9" t="s">
        <v>1642</v>
      </c>
      <c r="N171" s="12" t="str">
        <f>HYPERLINK("https://www.google.com/maps/search/?api=1&amp;query=143-20 84th Drive a/k/a 14320 84th Drive, Jamaica, NY 11435", "OPEN MAP")</f>
        <v>OPEN MAP</v>
      </c>
      <c r="O171" s="9" t="s">
        <v>1643</v>
      </c>
      <c r="P171" s="9" t="s">
        <v>42</v>
      </c>
      <c r="Q171" s="9" t="s">
        <v>43</v>
      </c>
      <c r="R171" s="9">
        <v>11435</v>
      </c>
      <c r="S171" s="13" t="s">
        <v>1644</v>
      </c>
      <c r="T171" s="14">
        <v>608363.31999999995</v>
      </c>
      <c r="U171" s="15">
        <v>43530</v>
      </c>
      <c r="V171" s="15"/>
      <c r="W171" s="14"/>
      <c r="X171" s="15"/>
      <c r="Y171" s="14"/>
      <c r="Z171" s="9"/>
      <c r="AA171" s="9" t="s">
        <v>45</v>
      </c>
      <c r="AB171" s="9" t="s">
        <v>1480</v>
      </c>
      <c r="AC171" s="9" t="s">
        <v>47</v>
      </c>
      <c r="AD171" s="9" t="s">
        <v>350</v>
      </c>
      <c r="AE171" s="9"/>
    </row>
    <row r="172" spans="1:31" x14ac:dyDescent="0.2">
      <c r="A172" s="1" t="s">
        <v>115</v>
      </c>
      <c r="B172" s="1"/>
      <c r="C172" s="3">
        <v>45919</v>
      </c>
      <c r="D172" s="1" t="s">
        <v>49</v>
      </c>
      <c r="E172" s="1"/>
      <c r="F172" s="4" t="s">
        <v>1645</v>
      </c>
      <c r="G172" s="1">
        <v>2024</v>
      </c>
      <c r="H172" s="1" t="s">
        <v>1646</v>
      </c>
      <c r="I172" s="1" t="s">
        <v>1647</v>
      </c>
      <c r="J172" s="1" t="s">
        <v>1648</v>
      </c>
      <c r="K172" s="1" t="s">
        <v>1649</v>
      </c>
      <c r="L172" s="1"/>
      <c r="M172" s="1" t="s">
        <v>1650</v>
      </c>
      <c r="N172" s="5" t="str">
        <f>HYPERLINK("https://www.google.com/maps/search/?api=1&amp;query=14743 230th Place, Springfield Gardens, NY 11413", "OPEN MAP")</f>
        <v>OPEN MAP</v>
      </c>
      <c r="O172" s="1" t="s">
        <v>1651</v>
      </c>
      <c r="P172" s="1" t="s">
        <v>89</v>
      </c>
      <c r="Q172" s="1" t="s">
        <v>43</v>
      </c>
      <c r="R172" s="1">
        <v>11413</v>
      </c>
      <c r="S172" s="6" t="s">
        <v>1652</v>
      </c>
      <c r="T172" s="7"/>
      <c r="U172" s="8"/>
      <c r="V172" s="8">
        <v>44239</v>
      </c>
      <c r="W172" s="7">
        <v>140000</v>
      </c>
      <c r="X172" s="8"/>
      <c r="Y172" s="7"/>
      <c r="Z172" s="1" t="s">
        <v>1653</v>
      </c>
      <c r="AA172" s="1" t="s">
        <v>318</v>
      </c>
      <c r="AB172" s="1" t="s">
        <v>360</v>
      </c>
      <c r="AC172" s="1" t="s">
        <v>583</v>
      </c>
      <c r="AD172" s="1"/>
      <c r="AE172" s="1"/>
    </row>
    <row r="173" spans="1:31" x14ac:dyDescent="0.2">
      <c r="A173" s="9" t="s">
        <v>31</v>
      </c>
      <c r="B173" s="9"/>
      <c r="C173" s="10">
        <v>45919</v>
      </c>
      <c r="D173" s="9" t="s">
        <v>49</v>
      </c>
      <c r="E173" s="9"/>
      <c r="F173" s="11" t="s">
        <v>1654</v>
      </c>
      <c r="G173" s="9">
        <v>2009</v>
      </c>
      <c r="H173" s="9" t="s">
        <v>1655</v>
      </c>
      <c r="I173" s="9" t="s">
        <v>1656</v>
      </c>
      <c r="J173" s="9" t="s">
        <v>1657</v>
      </c>
      <c r="K173" s="9" t="s">
        <v>1657</v>
      </c>
      <c r="L173" s="9"/>
      <c r="M173" s="9" t="s">
        <v>1658</v>
      </c>
      <c r="N173" s="12" t="str">
        <f>HYPERLINK("https://www.google.com/maps/search/?api=1&amp;query=4627 Overbrook Street, Little Neck, NY 11362", "OPEN MAP")</f>
        <v>OPEN MAP</v>
      </c>
      <c r="O173" s="9" t="s">
        <v>1659</v>
      </c>
      <c r="P173" s="9" t="s">
        <v>1660</v>
      </c>
      <c r="Q173" s="9" t="s">
        <v>43</v>
      </c>
      <c r="R173" s="9">
        <v>11362</v>
      </c>
      <c r="S173" s="13" t="s">
        <v>1661</v>
      </c>
      <c r="T173" s="14">
        <v>1603841.95</v>
      </c>
      <c r="U173" s="15">
        <v>43350</v>
      </c>
      <c r="V173" s="15"/>
      <c r="W173" s="14"/>
      <c r="X173" s="15"/>
      <c r="Y173" s="14"/>
      <c r="Z173" s="9"/>
      <c r="AA173" s="9" t="s">
        <v>45</v>
      </c>
      <c r="AB173" s="9" t="s">
        <v>46</v>
      </c>
      <c r="AC173" s="9" t="s">
        <v>47</v>
      </c>
      <c r="AD173" s="9" t="s">
        <v>1662</v>
      </c>
      <c r="AE173" s="9"/>
    </row>
    <row r="174" spans="1:31" x14ac:dyDescent="0.2">
      <c r="A174" s="1" t="s">
        <v>31</v>
      </c>
      <c r="B174" s="1"/>
      <c r="C174" s="3">
        <v>45919</v>
      </c>
      <c r="D174" s="1" t="s">
        <v>49</v>
      </c>
      <c r="E174" s="1"/>
      <c r="F174" s="4" t="s">
        <v>1663</v>
      </c>
      <c r="G174" s="1">
        <v>2023</v>
      </c>
      <c r="H174" s="1" t="s">
        <v>1664</v>
      </c>
      <c r="I174" s="1" t="s">
        <v>1422</v>
      </c>
      <c r="J174" s="1" t="s">
        <v>1665</v>
      </c>
      <c r="K174" s="1" t="s">
        <v>1666</v>
      </c>
      <c r="L174" s="1" t="s">
        <v>1667</v>
      </c>
      <c r="M174" s="1" t="s">
        <v>1668</v>
      </c>
      <c r="N174" s="5" t="str">
        <f>HYPERLINK("https://www.google.com/maps/search/?api=1&amp;query=48-25 39th Street, Sunnyside, New York 11104", "OPEN MAP")</f>
        <v>OPEN MAP</v>
      </c>
      <c r="O174" s="1" t="s">
        <v>1669</v>
      </c>
      <c r="P174" s="1" t="s">
        <v>1670</v>
      </c>
      <c r="Q174" s="1" t="s">
        <v>43</v>
      </c>
      <c r="R174" s="1">
        <v>11104</v>
      </c>
      <c r="S174" s="6" t="s">
        <v>1671</v>
      </c>
      <c r="T174" s="7"/>
      <c r="U174" s="8"/>
      <c r="V174" s="8"/>
      <c r="W174" s="7"/>
      <c r="X174" s="8"/>
      <c r="Y174" s="7"/>
      <c r="Z174" s="1" t="s">
        <v>1427</v>
      </c>
      <c r="AA174" s="1" t="s">
        <v>1428</v>
      </c>
      <c r="AB174" s="1" t="s">
        <v>1429</v>
      </c>
      <c r="AC174" s="1" t="s">
        <v>1672</v>
      </c>
      <c r="AD174" s="1"/>
      <c r="AE174" s="1"/>
    </row>
    <row r="175" spans="1:31" x14ac:dyDescent="0.2">
      <c r="A175" s="9" t="s">
        <v>115</v>
      </c>
      <c r="B175" s="9"/>
      <c r="C175" s="10">
        <v>45919</v>
      </c>
      <c r="D175" s="9" t="s">
        <v>49</v>
      </c>
      <c r="E175" s="9"/>
      <c r="F175" s="11" t="s">
        <v>1673</v>
      </c>
      <c r="G175" s="9">
        <v>2010</v>
      </c>
      <c r="H175" s="9" t="s">
        <v>1674</v>
      </c>
      <c r="I175" s="9" t="s">
        <v>96</v>
      </c>
      <c r="J175" s="9" t="s">
        <v>1675</v>
      </c>
      <c r="K175" s="9" t="s">
        <v>1675</v>
      </c>
      <c r="L175" s="9"/>
      <c r="M175" s="9" t="s">
        <v>1676</v>
      </c>
      <c r="N175" s="12" t="str">
        <f>HYPERLINK("https://www.google.com/maps/search/?api=1&amp;query=9626 46th Ave, Corona, NY 11368", "OPEN MAP")</f>
        <v>OPEN MAP</v>
      </c>
      <c r="O175" s="9" t="s">
        <v>1677</v>
      </c>
      <c r="P175" s="9" t="s">
        <v>228</v>
      </c>
      <c r="Q175" s="9" t="s">
        <v>43</v>
      </c>
      <c r="R175" s="9">
        <v>11368</v>
      </c>
      <c r="S175" s="13" t="s">
        <v>1678</v>
      </c>
      <c r="T175" s="14">
        <v>1392648.81</v>
      </c>
      <c r="U175" s="15">
        <v>45552</v>
      </c>
      <c r="V175" s="15"/>
      <c r="W175" s="14"/>
      <c r="X175" s="15"/>
      <c r="Y175" s="14"/>
      <c r="Z175" s="9"/>
      <c r="AA175" s="9" t="s">
        <v>482</v>
      </c>
      <c r="AB175" s="9" t="s">
        <v>688</v>
      </c>
      <c r="AC175" s="9"/>
      <c r="AD175" s="9" t="s">
        <v>1679</v>
      </c>
      <c r="AE175" s="9"/>
    </row>
    <row r="176" spans="1:31" x14ac:dyDescent="0.2">
      <c r="A176" s="1" t="s">
        <v>31</v>
      </c>
      <c r="B176" s="1"/>
      <c r="C176" s="3">
        <v>45919</v>
      </c>
      <c r="D176" s="1" t="s">
        <v>49</v>
      </c>
      <c r="E176" s="1"/>
      <c r="F176" s="4" t="s">
        <v>1680</v>
      </c>
      <c r="G176" s="1">
        <v>2018</v>
      </c>
      <c r="H176" s="1" t="s">
        <v>1681</v>
      </c>
      <c r="I176" s="1" t="s">
        <v>1682</v>
      </c>
      <c r="J176" s="1" t="s">
        <v>1683</v>
      </c>
      <c r="K176" s="1" t="s">
        <v>1684</v>
      </c>
      <c r="L176" s="1" t="s">
        <v>1685</v>
      </c>
      <c r="M176" s="1" t="s">
        <v>1686</v>
      </c>
      <c r="N176" s="5" t="str">
        <f>HYPERLINK("https://www.google.com/maps/search/?api=1&amp;query=143-35 228TH STREET,ROSEDALE A/K/A SPRINGFIELD GARDENS A/K/A LAURELTON, NY 11413", "OPEN MAP")</f>
        <v>OPEN MAP</v>
      </c>
      <c r="O176" s="1" t="s">
        <v>1687</v>
      </c>
      <c r="P176" s="1" t="s">
        <v>1688</v>
      </c>
      <c r="Q176" s="1" t="s">
        <v>43</v>
      </c>
      <c r="R176" s="1">
        <v>11413</v>
      </c>
      <c r="S176" s="6" t="s">
        <v>1689</v>
      </c>
      <c r="T176" s="7"/>
      <c r="U176" s="8"/>
      <c r="V176" s="8">
        <v>38642</v>
      </c>
      <c r="W176" s="7">
        <v>359000</v>
      </c>
      <c r="X176" s="8"/>
      <c r="Y176" s="7"/>
      <c r="Z176" s="1" t="s">
        <v>1690</v>
      </c>
      <c r="AA176" s="1" t="s">
        <v>1045</v>
      </c>
      <c r="AB176" s="1" t="s">
        <v>1046</v>
      </c>
      <c r="AC176" s="1" t="s">
        <v>1691</v>
      </c>
      <c r="AD176" s="1"/>
      <c r="AE176" s="1"/>
    </row>
    <row r="177" spans="1:31" x14ac:dyDescent="0.2">
      <c r="A177" s="9" t="s">
        <v>31</v>
      </c>
      <c r="B177" s="9"/>
      <c r="C177" s="10">
        <v>45919</v>
      </c>
      <c r="D177" s="9" t="s">
        <v>49</v>
      </c>
      <c r="E177" s="9" t="s">
        <v>33</v>
      </c>
      <c r="F177" s="11" t="s">
        <v>1692</v>
      </c>
      <c r="G177" s="9">
        <v>2015</v>
      </c>
      <c r="H177" s="9" t="s">
        <v>1693</v>
      </c>
      <c r="I177" s="9" t="s">
        <v>279</v>
      </c>
      <c r="J177" s="9" t="s">
        <v>1694</v>
      </c>
      <c r="K177" s="9" t="s">
        <v>1694</v>
      </c>
      <c r="L177" s="9"/>
      <c r="M177" s="9" t="s">
        <v>1695</v>
      </c>
      <c r="N177" s="12" t="str">
        <f>HYPERLINK("https://www.google.com/maps/search/?api=1&amp;query=195-39 Hillside Avenue, Holliswood, NY 11423", "OPEN MAP")</f>
        <v>OPEN MAP</v>
      </c>
      <c r="O177" s="9" t="s">
        <v>1696</v>
      </c>
      <c r="P177" s="9" t="s">
        <v>1697</v>
      </c>
      <c r="Q177" s="9" t="s">
        <v>43</v>
      </c>
      <c r="R177" s="9">
        <v>11423</v>
      </c>
      <c r="S177" s="13" t="s">
        <v>1698</v>
      </c>
      <c r="T177" s="14">
        <v>1076532.98</v>
      </c>
      <c r="U177" s="15">
        <v>44706</v>
      </c>
      <c r="V177" s="15"/>
      <c r="W177" s="14"/>
      <c r="X177" s="15"/>
      <c r="Y177" s="14"/>
      <c r="Z177" s="9"/>
      <c r="AA177" s="9" t="s">
        <v>1699</v>
      </c>
      <c r="AB177" s="9" t="s">
        <v>1700</v>
      </c>
      <c r="AC177" s="9"/>
      <c r="AD177" s="9" t="s">
        <v>1701</v>
      </c>
      <c r="AE177" s="9"/>
    </row>
    <row r="178" spans="1:31" x14ac:dyDescent="0.2">
      <c r="A178" s="1" t="s">
        <v>31</v>
      </c>
      <c r="B178" s="1"/>
      <c r="C178" s="3">
        <v>45919</v>
      </c>
      <c r="D178" s="1" t="s">
        <v>32</v>
      </c>
      <c r="E178" s="1"/>
      <c r="F178" s="4" t="s">
        <v>1702</v>
      </c>
      <c r="G178" s="1">
        <v>2019</v>
      </c>
      <c r="H178" s="1" t="s">
        <v>1703</v>
      </c>
      <c r="I178" s="1" t="s">
        <v>1704</v>
      </c>
      <c r="J178" s="1" t="s">
        <v>1705</v>
      </c>
      <c r="K178" s="1" t="s">
        <v>1705</v>
      </c>
      <c r="L178" s="1"/>
      <c r="M178" s="1" t="s">
        <v>1706</v>
      </c>
      <c r="N178" s="5" t="str">
        <f>HYPERLINK("https://www.google.com/maps/search/?api=1&amp;query=112-05 203rd Street, Saint Albans, NY 11412", "OPEN MAP")</f>
        <v>OPEN MAP</v>
      </c>
      <c r="O178" s="1" t="s">
        <v>1707</v>
      </c>
      <c r="P178" s="1" t="s">
        <v>357</v>
      </c>
      <c r="Q178" s="1" t="s">
        <v>43</v>
      </c>
      <c r="R178" s="1">
        <v>11412</v>
      </c>
      <c r="S178" s="6" t="s">
        <v>1708</v>
      </c>
      <c r="T178" s="7">
        <v>833879.52</v>
      </c>
      <c r="U178" s="8">
        <v>45390</v>
      </c>
      <c r="V178" s="8"/>
      <c r="W178" s="7"/>
      <c r="X178" s="8"/>
      <c r="Y178" s="7"/>
      <c r="Z178" s="1"/>
      <c r="AA178" s="1" t="s">
        <v>1709</v>
      </c>
      <c r="AB178" s="1" t="s">
        <v>1710</v>
      </c>
      <c r="AC178" s="1"/>
      <c r="AD178" s="1" t="s">
        <v>1711</v>
      </c>
      <c r="AE178" s="1"/>
    </row>
    <row r="179" spans="1:31" x14ac:dyDescent="0.2">
      <c r="A179" s="9" t="s">
        <v>31</v>
      </c>
      <c r="B179" s="9"/>
      <c r="C179" s="10">
        <v>45919</v>
      </c>
      <c r="D179" s="9" t="s">
        <v>49</v>
      </c>
      <c r="E179" s="9"/>
      <c r="F179" s="11" t="s">
        <v>1712</v>
      </c>
      <c r="G179" s="9">
        <v>2022</v>
      </c>
      <c r="H179" s="9" t="s">
        <v>1713</v>
      </c>
      <c r="I179" s="9" t="s">
        <v>1714</v>
      </c>
      <c r="J179" s="9" t="s">
        <v>1715</v>
      </c>
      <c r="K179" s="9" t="s">
        <v>1715</v>
      </c>
      <c r="L179" s="9" t="s">
        <v>1716</v>
      </c>
      <c r="M179" s="9" t="s">
        <v>1717</v>
      </c>
      <c r="N179" s="12" t="str">
        <f>HYPERLINK("https://www.google.com/maps/search/?api=1&amp;query=96-16 91st Dr., Woodhaven, NY 11421", "OPEN MAP")</f>
        <v>OPEN MAP</v>
      </c>
      <c r="O179" s="9" t="s">
        <v>1718</v>
      </c>
      <c r="P179" s="9" t="s">
        <v>149</v>
      </c>
      <c r="Q179" s="9" t="s">
        <v>43</v>
      </c>
      <c r="R179" s="9">
        <v>11421</v>
      </c>
      <c r="S179" s="13" t="s">
        <v>1719</v>
      </c>
      <c r="T179" s="14">
        <v>506800</v>
      </c>
      <c r="U179" s="15">
        <v>45518</v>
      </c>
      <c r="V179" s="15"/>
      <c r="W179" s="14"/>
      <c r="X179" s="15"/>
      <c r="Y179" s="14"/>
      <c r="Z179" s="9"/>
      <c r="AA179" s="9" t="s">
        <v>1720</v>
      </c>
      <c r="AB179" s="9" t="s">
        <v>1721</v>
      </c>
      <c r="AC179" s="9"/>
      <c r="AD179" s="9" t="s">
        <v>1722</v>
      </c>
      <c r="AE179" s="9"/>
    </row>
    <row r="180" spans="1:31" x14ac:dyDescent="0.2">
      <c r="A180" s="1" t="s">
        <v>31</v>
      </c>
      <c r="B180" s="1"/>
      <c r="C180" s="3">
        <v>45919</v>
      </c>
      <c r="D180" s="1" t="s">
        <v>49</v>
      </c>
      <c r="E180" s="1"/>
      <c r="F180" s="4" t="s">
        <v>1723</v>
      </c>
      <c r="G180" s="1">
        <v>2018</v>
      </c>
      <c r="H180" s="1" t="s">
        <v>1724</v>
      </c>
      <c r="I180" s="1" t="s">
        <v>105</v>
      </c>
      <c r="J180" s="1" t="s">
        <v>1725</v>
      </c>
      <c r="K180" s="1" t="s">
        <v>1726</v>
      </c>
      <c r="L180" s="1" t="s">
        <v>1727</v>
      </c>
      <c r="M180" s="1" t="s">
        <v>1728</v>
      </c>
      <c r="N180" s="5" t="str">
        <f>HYPERLINK("https://www.google.com/maps/search/?api=1&amp;query=104-50 104th Street, Ozone Park, NY 11417", "OPEN MAP")</f>
        <v>OPEN MAP</v>
      </c>
      <c r="O180" s="1" t="s">
        <v>1729</v>
      </c>
      <c r="P180" s="1" t="s">
        <v>263</v>
      </c>
      <c r="Q180" s="1" t="s">
        <v>43</v>
      </c>
      <c r="R180" s="1">
        <v>11417</v>
      </c>
      <c r="S180" s="6" t="s">
        <v>1730</v>
      </c>
      <c r="T180" s="7">
        <v>462777.52</v>
      </c>
      <c r="U180" s="8">
        <v>44599</v>
      </c>
      <c r="V180" s="8"/>
      <c r="W180" s="7"/>
      <c r="X180" s="8"/>
      <c r="Y180" s="7"/>
      <c r="Z180" s="1"/>
      <c r="AA180" s="1" t="s">
        <v>45</v>
      </c>
      <c r="AB180" s="1" t="s">
        <v>46</v>
      </c>
      <c r="AC180" s="1" t="s">
        <v>47</v>
      </c>
      <c r="AD180" s="1" t="s">
        <v>1731</v>
      </c>
      <c r="AE180" s="1"/>
    </row>
    <row r="181" spans="1:31" x14ac:dyDescent="0.2">
      <c r="A181" s="9" t="s">
        <v>31</v>
      </c>
      <c r="B181" s="9"/>
      <c r="C181" s="10">
        <v>45919</v>
      </c>
      <c r="D181" s="9" t="s">
        <v>32</v>
      </c>
      <c r="E181" s="9"/>
      <c r="F181" s="11" t="s">
        <v>1732</v>
      </c>
      <c r="G181" s="9">
        <v>2019</v>
      </c>
      <c r="H181" s="9" t="s">
        <v>1733</v>
      </c>
      <c r="I181" s="9" t="s">
        <v>233</v>
      </c>
      <c r="J181" s="9" t="s">
        <v>1734</v>
      </c>
      <c r="K181" s="9" t="s">
        <v>1735</v>
      </c>
      <c r="L181" s="9" t="s">
        <v>1736</v>
      </c>
      <c r="M181" s="9" t="s">
        <v>1737</v>
      </c>
      <c r="N181" s="12" t="str">
        <f>HYPERLINK("https://www.google.com/maps/search/?api=1&amp;query=104-02 214Th Street, Queens, NY", "OPEN MAP")</f>
        <v>OPEN MAP</v>
      </c>
      <c r="O181" s="9" t="s">
        <v>1738</v>
      </c>
      <c r="P181" s="9" t="s">
        <v>115</v>
      </c>
      <c r="Q181" s="9" t="s">
        <v>43</v>
      </c>
      <c r="R181" s="9">
        <v>11429</v>
      </c>
      <c r="S181" s="13" t="s">
        <v>1739</v>
      </c>
      <c r="T181" s="14">
        <v>340000</v>
      </c>
      <c r="U181" s="15"/>
      <c r="V181" s="15">
        <v>38343</v>
      </c>
      <c r="W181" s="14">
        <v>340000</v>
      </c>
      <c r="X181" s="15" t="s">
        <v>1740</v>
      </c>
      <c r="Y181" s="14">
        <v>399266.97</v>
      </c>
      <c r="Z181" s="9" t="s">
        <v>1741</v>
      </c>
      <c r="AA181" s="9" t="s">
        <v>1112</v>
      </c>
      <c r="AB181" s="9" t="s">
        <v>709</v>
      </c>
      <c r="AC181" s="9" t="s">
        <v>1114</v>
      </c>
      <c r="AD181" s="9"/>
      <c r="AE181" s="9"/>
    </row>
    <row r="182" spans="1:31" x14ac:dyDescent="0.2">
      <c r="A182" s="1" t="s">
        <v>31</v>
      </c>
      <c r="B182" s="1"/>
      <c r="C182" s="3">
        <v>45919</v>
      </c>
      <c r="D182" s="1" t="s">
        <v>32</v>
      </c>
      <c r="E182" s="1" t="s">
        <v>33</v>
      </c>
      <c r="F182" s="4" t="s">
        <v>1742</v>
      </c>
      <c r="G182" s="1">
        <v>2020</v>
      </c>
      <c r="H182" s="1" t="s">
        <v>1743</v>
      </c>
      <c r="I182" s="1" t="s">
        <v>279</v>
      </c>
      <c r="J182" s="1" t="s">
        <v>1744</v>
      </c>
      <c r="K182" s="1" t="s">
        <v>1745</v>
      </c>
      <c r="L182" s="1" t="s">
        <v>1746</v>
      </c>
      <c r="M182" s="1" t="s">
        <v>1747</v>
      </c>
      <c r="N182" s="5" t="str">
        <f>HYPERLINK("https://www.google.com/maps/search/?api=1&amp;query=33-33 98th Street, Corona, NY 11368", "OPEN MAP")</f>
        <v>OPEN MAP</v>
      </c>
      <c r="O182" s="1" t="s">
        <v>1748</v>
      </c>
      <c r="P182" s="1" t="s">
        <v>228</v>
      </c>
      <c r="Q182" s="1" t="s">
        <v>43</v>
      </c>
      <c r="R182" s="1">
        <v>11368</v>
      </c>
      <c r="S182" s="6" t="s">
        <v>1749</v>
      </c>
      <c r="T182" s="7">
        <v>43862.67</v>
      </c>
      <c r="U182" s="8">
        <v>45464</v>
      </c>
      <c r="V182" s="8"/>
      <c r="W182" s="7"/>
      <c r="X182" s="8"/>
      <c r="Y182" s="7"/>
      <c r="Z182" s="1"/>
      <c r="AA182" s="1" t="s">
        <v>1699</v>
      </c>
      <c r="AB182" s="1" t="s">
        <v>1700</v>
      </c>
      <c r="AC182" s="1"/>
      <c r="AD182" s="1" t="s">
        <v>350</v>
      </c>
      <c r="AE182" s="1"/>
    </row>
    <row r="183" spans="1:31" x14ac:dyDescent="0.2">
      <c r="A183" s="9" t="s">
        <v>115</v>
      </c>
      <c r="B183" s="9"/>
      <c r="C183" s="10">
        <v>45919</v>
      </c>
      <c r="D183" s="9" t="s">
        <v>49</v>
      </c>
      <c r="E183" s="9"/>
      <c r="F183" s="11" t="s">
        <v>1750</v>
      </c>
      <c r="G183" s="9">
        <v>2024</v>
      </c>
      <c r="H183" s="9" t="s">
        <v>1751</v>
      </c>
      <c r="I183" s="9" t="s">
        <v>1752</v>
      </c>
      <c r="J183" s="9" t="s">
        <v>1753</v>
      </c>
      <c r="K183" s="9" t="s">
        <v>1753</v>
      </c>
      <c r="L183" s="9"/>
      <c r="M183" s="9" t="s">
        <v>1754</v>
      </c>
      <c r="N183" s="12" t="str">
        <f>HYPERLINK("https://www.google.com/maps/search/?api=1&amp;query=119-20 193rd Street, Saint Albans, NY 11412", "OPEN MAP")</f>
        <v>OPEN MAP</v>
      </c>
      <c r="O183" s="9" t="s">
        <v>1755</v>
      </c>
      <c r="P183" s="9" t="s">
        <v>357</v>
      </c>
      <c r="Q183" s="9" t="s">
        <v>43</v>
      </c>
      <c r="R183" s="9">
        <v>11412</v>
      </c>
      <c r="S183" s="13" t="s">
        <v>1756</v>
      </c>
      <c r="T183" s="14"/>
      <c r="U183" s="15"/>
      <c r="V183" s="15">
        <v>41380</v>
      </c>
      <c r="W183" s="14">
        <v>547893</v>
      </c>
      <c r="X183" s="15">
        <v>44888</v>
      </c>
      <c r="Y183" s="14">
        <v>390580.96</v>
      </c>
      <c r="Z183" s="9" t="s">
        <v>1226</v>
      </c>
      <c r="AA183" s="9" t="s">
        <v>1227</v>
      </c>
      <c r="AB183" s="9" t="s">
        <v>46</v>
      </c>
      <c r="AC183" s="9" t="s">
        <v>114</v>
      </c>
      <c r="AD183" s="9"/>
      <c r="AE183" s="9"/>
    </row>
    <row r="184" spans="1:31" x14ac:dyDescent="0.2">
      <c r="A184" s="1" t="s">
        <v>31</v>
      </c>
      <c r="B184" s="1"/>
      <c r="C184" s="3">
        <v>45919</v>
      </c>
      <c r="D184" s="1" t="s">
        <v>32</v>
      </c>
      <c r="E184" s="1"/>
      <c r="F184" s="4" t="s">
        <v>1757</v>
      </c>
      <c r="G184" s="1">
        <v>2014</v>
      </c>
      <c r="H184" s="1" t="s">
        <v>1758</v>
      </c>
      <c r="I184" s="1" t="s">
        <v>118</v>
      </c>
      <c r="J184" s="1" t="s">
        <v>1759</v>
      </c>
      <c r="K184" s="1" t="s">
        <v>1760</v>
      </c>
      <c r="L184" s="1" t="s">
        <v>1761</v>
      </c>
      <c r="M184" s="1" t="s">
        <v>1762</v>
      </c>
      <c r="N184" s="5" t="str">
        <f>HYPERLINK("https://www.google.com/maps/search/?api=1&amp;query=104-28 42ND AVENUE, CORONA, NY 11368", "OPEN MAP")</f>
        <v>OPEN MAP</v>
      </c>
      <c r="O184" s="1" t="s">
        <v>1763</v>
      </c>
      <c r="P184" s="1" t="s">
        <v>1042</v>
      </c>
      <c r="Q184" s="1" t="s">
        <v>43</v>
      </c>
      <c r="R184" s="1">
        <v>11368</v>
      </c>
      <c r="S184" s="6" t="s">
        <v>1764</v>
      </c>
      <c r="T184" s="7">
        <v>890519.51</v>
      </c>
      <c r="U184" s="8">
        <v>43053</v>
      </c>
      <c r="V184" s="8"/>
      <c r="W184" s="7"/>
      <c r="X184" s="8"/>
      <c r="Y184" s="7"/>
      <c r="Z184" s="1"/>
      <c r="AA184" s="1" t="s">
        <v>91</v>
      </c>
      <c r="AB184" s="1" t="s">
        <v>92</v>
      </c>
      <c r="AC184" s="1"/>
      <c r="AD184" s="1" t="s">
        <v>1765</v>
      </c>
      <c r="AE184" s="1"/>
    </row>
    <row r="185" spans="1:31" x14ac:dyDescent="0.2">
      <c r="A185" s="9" t="s">
        <v>31</v>
      </c>
      <c r="B185" s="9"/>
      <c r="C185" s="10">
        <v>45919</v>
      </c>
      <c r="D185" s="9" t="s">
        <v>49</v>
      </c>
      <c r="E185" s="9"/>
      <c r="F185" s="11" t="s">
        <v>1766</v>
      </c>
      <c r="G185" s="9">
        <v>2020</v>
      </c>
      <c r="H185" s="9" t="s">
        <v>1767</v>
      </c>
      <c r="I185" s="9" t="s">
        <v>233</v>
      </c>
      <c r="J185" s="9" t="s">
        <v>1768</v>
      </c>
      <c r="K185" s="9" t="s">
        <v>1768</v>
      </c>
      <c r="L185" s="9"/>
      <c r="M185" s="9" t="s">
        <v>1769</v>
      </c>
      <c r="N185" s="12" t="str">
        <f>HYPERLINK("https://www.google.com/maps/search/?api=1&amp;query=174-11 POLHEMAS AVENUE, JAMAICA, NEW YORK 11433", "OPEN MAP")</f>
        <v>OPEN MAP</v>
      </c>
      <c r="O185" s="9" t="s">
        <v>1770</v>
      </c>
      <c r="P185" s="9" t="s">
        <v>274</v>
      </c>
      <c r="Q185" s="9" t="s">
        <v>765</v>
      </c>
      <c r="R185" s="9">
        <v>11433</v>
      </c>
      <c r="S185" s="13" t="s">
        <v>1771</v>
      </c>
      <c r="T185" s="14"/>
      <c r="U185" s="15"/>
      <c r="V185" s="15">
        <v>39002</v>
      </c>
      <c r="W185" s="14">
        <v>544500</v>
      </c>
      <c r="X185" s="15">
        <v>43175</v>
      </c>
      <c r="Y185" s="14"/>
      <c r="Z185" s="9" t="s">
        <v>1772</v>
      </c>
      <c r="AA185" s="9" t="s">
        <v>1024</v>
      </c>
      <c r="AB185" s="9" t="s">
        <v>768</v>
      </c>
      <c r="AC185" s="9" t="s">
        <v>769</v>
      </c>
      <c r="AD185" s="9"/>
      <c r="AE185" s="9"/>
    </row>
    <row r="186" spans="1:31" x14ac:dyDescent="0.2">
      <c r="A186" s="1" t="s">
        <v>31</v>
      </c>
      <c r="B186" s="1"/>
      <c r="C186" s="3">
        <v>45919</v>
      </c>
      <c r="D186" s="1" t="s">
        <v>32</v>
      </c>
      <c r="E186" s="1"/>
      <c r="F186" s="4" t="s">
        <v>1773</v>
      </c>
      <c r="G186" s="1">
        <v>2016</v>
      </c>
      <c r="H186" s="1" t="s">
        <v>1774</v>
      </c>
      <c r="I186" s="1" t="s">
        <v>1775</v>
      </c>
      <c r="J186" s="1" t="s">
        <v>1776</v>
      </c>
      <c r="K186" s="1" t="s">
        <v>1776</v>
      </c>
      <c r="L186" s="1"/>
      <c r="M186" s="1" t="s">
        <v>1777</v>
      </c>
      <c r="N186" s="5" t="str">
        <f>HYPERLINK("https://www.google.com/maps/search/?api=1&amp;query=9302 202nd St, Hollis, NY 11423", "OPEN MAP")</f>
        <v>OPEN MAP</v>
      </c>
      <c r="O186" s="1" t="s">
        <v>1778</v>
      </c>
      <c r="P186" s="1" t="s">
        <v>627</v>
      </c>
      <c r="Q186" s="1" t="s">
        <v>43</v>
      </c>
      <c r="R186" s="1">
        <v>11423</v>
      </c>
      <c r="S186" s="6">
        <v>-10853</v>
      </c>
      <c r="T186" s="7">
        <v>320416.87</v>
      </c>
      <c r="U186" s="8">
        <v>44803</v>
      </c>
      <c r="V186" s="8"/>
      <c r="W186" s="7"/>
      <c r="X186" s="8"/>
      <c r="Y186" s="7"/>
      <c r="Z186" s="1"/>
      <c r="AA186" s="1" t="s">
        <v>1779</v>
      </c>
      <c r="AB186" s="1" t="s">
        <v>1780</v>
      </c>
      <c r="AC186" s="1" t="s">
        <v>845</v>
      </c>
      <c r="AD186" s="1" t="s">
        <v>1781</v>
      </c>
      <c r="AE186" s="1"/>
    </row>
    <row r="187" spans="1:31" x14ac:dyDescent="0.2">
      <c r="A187" s="9" t="s">
        <v>115</v>
      </c>
      <c r="B187" s="9"/>
      <c r="C187" s="10">
        <v>45919</v>
      </c>
      <c r="D187" s="9" t="s">
        <v>49</v>
      </c>
      <c r="E187" s="9"/>
      <c r="F187" s="11" t="s">
        <v>1782</v>
      </c>
      <c r="G187" s="9">
        <v>2017</v>
      </c>
      <c r="H187" s="9" t="s">
        <v>1783</v>
      </c>
      <c r="I187" s="9" t="s">
        <v>732</v>
      </c>
      <c r="J187" s="9" t="s">
        <v>1784</v>
      </c>
      <c r="K187" s="9" t="s">
        <v>1784</v>
      </c>
      <c r="L187" s="9"/>
      <c r="M187" s="9" t="s">
        <v>1785</v>
      </c>
      <c r="N187" s="12" t="str">
        <f>HYPERLINK("https://www.google.com/maps/search/?api=1&amp;query=115-36 122nd Street, South Ozone Park, NY 11420", "OPEN MAP")</f>
        <v>OPEN MAP</v>
      </c>
      <c r="O187" s="9" t="s">
        <v>1786</v>
      </c>
      <c r="P187" s="9" t="s">
        <v>237</v>
      </c>
      <c r="Q187" s="9" t="s">
        <v>43</v>
      </c>
      <c r="R187" s="9">
        <v>11420</v>
      </c>
      <c r="S187" s="13" t="s">
        <v>1787</v>
      </c>
      <c r="T187" s="14">
        <v>749851.58</v>
      </c>
      <c r="U187" s="15">
        <v>44594</v>
      </c>
      <c r="V187" s="15"/>
      <c r="W187" s="14"/>
      <c r="X187" s="15"/>
      <c r="Y187" s="14"/>
      <c r="Z187" s="9"/>
      <c r="AA187" s="9" t="s">
        <v>482</v>
      </c>
      <c r="AB187" s="9" t="s">
        <v>483</v>
      </c>
      <c r="AC187" s="9"/>
      <c r="AD187" s="9" t="s">
        <v>1788</v>
      </c>
      <c r="AE187" s="9"/>
    </row>
    <row r="188" spans="1:31" x14ac:dyDescent="0.2">
      <c r="A188" s="1" t="s">
        <v>31</v>
      </c>
      <c r="B188" s="1"/>
      <c r="C188" s="3">
        <v>45919</v>
      </c>
      <c r="D188" s="1" t="s">
        <v>49</v>
      </c>
      <c r="E188" s="1"/>
      <c r="F188" s="4" t="s">
        <v>1789</v>
      </c>
      <c r="G188" s="1">
        <v>2020</v>
      </c>
      <c r="H188" s="1" t="s">
        <v>1790</v>
      </c>
      <c r="I188" s="1" t="s">
        <v>1791</v>
      </c>
      <c r="J188" s="1" t="s">
        <v>1792</v>
      </c>
      <c r="K188" s="1" t="s">
        <v>1792</v>
      </c>
      <c r="L188" s="1"/>
      <c r="M188" s="1" t="s">
        <v>1793</v>
      </c>
      <c r="N188" s="5" t="str">
        <f>HYPERLINK("https://www.google.com/maps/search/?api=1&amp;query=116-38 194th Street, Saint Albans, NY 11412", "OPEN MAP")</f>
        <v>OPEN MAP</v>
      </c>
      <c r="O188" s="1" t="s">
        <v>1794</v>
      </c>
      <c r="P188" s="1" t="s">
        <v>357</v>
      </c>
      <c r="Q188" s="1" t="s">
        <v>43</v>
      </c>
      <c r="R188" s="1">
        <v>11412</v>
      </c>
      <c r="S188" s="6" t="s">
        <v>1795</v>
      </c>
      <c r="T188" s="7">
        <v>250311.48</v>
      </c>
      <c r="U188" s="8">
        <v>45201</v>
      </c>
      <c r="V188" s="8"/>
      <c r="W188" s="7"/>
      <c r="X188" s="8"/>
      <c r="Y188" s="7"/>
      <c r="Z188" s="1"/>
      <c r="AA188" s="1" t="s">
        <v>1796</v>
      </c>
      <c r="AB188" s="1" t="s">
        <v>1797</v>
      </c>
      <c r="AC188" s="1"/>
      <c r="AD188" s="1" t="s">
        <v>1798</v>
      </c>
      <c r="AE188" s="1"/>
    </row>
    <row r="189" spans="1:31" x14ac:dyDescent="0.2">
      <c r="A189" s="9" t="s">
        <v>115</v>
      </c>
      <c r="B189" s="9"/>
      <c r="C189" s="10">
        <v>45919</v>
      </c>
      <c r="D189" s="9" t="s">
        <v>32</v>
      </c>
      <c r="E189" s="9"/>
      <c r="F189" s="11" t="s">
        <v>1799</v>
      </c>
      <c r="G189" s="9">
        <v>2024</v>
      </c>
      <c r="H189" s="9" t="s">
        <v>1800</v>
      </c>
      <c r="I189" s="9" t="s">
        <v>144</v>
      </c>
      <c r="J189" s="9" t="s">
        <v>1801</v>
      </c>
      <c r="K189" s="9" t="s">
        <v>1802</v>
      </c>
      <c r="L189" s="9" t="s">
        <v>1803</v>
      </c>
      <c r="M189" s="9" t="s">
        <v>1804</v>
      </c>
      <c r="N189" s="12" t="str">
        <f>HYPERLINK("https://www.google.com/maps/search/?api=1&amp;query=137-44 Belknap Street a/k/a 13744 Belknap Street, Springfield Gardens, NY 11413", "OPEN MAP")</f>
        <v>OPEN MAP</v>
      </c>
      <c r="O189" s="9" t="s">
        <v>1805</v>
      </c>
      <c r="P189" s="9" t="s">
        <v>89</v>
      </c>
      <c r="Q189" s="9" t="s">
        <v>43</v>
      </c>
      <c r="R189" s="9">
        <v>11413</v>
      </c>
      <c r="S189" s="13" t="s">
        <v>1806</v>
      </c>
      <c r="T189" s="14"/>
      <c r="U189" s="15"/>
      <c r="V189" s="15">
        <v>39281</v>
      </c>
      <c r="W189" s="14">
        <v>540000</v>
      </c>
      <c r="X189" s="15">
        <v>43472</v>
      </c>
      <c r="Y189" s="14">
        <v>1035370.89</v>
      </c>
      <c r="Z189" s="9" t="s">
        <v>1807</v>
      </c>
      <c r="AA189" s="9" t="s">
        <v>1227</v>
      </c>
      <c r="AB189" s="9" t="s">
        <v>46</v>
      </c>
      <c r="AC189" s="9" t="s">
        <v>1808</v>
      </c>
      <c r="AD189" s="9"/>
      <c r="AE189" s="9"/>
    </row>
    <row r="190" spans="1:31" x14ac:dyDescent="0.2">
      <c r="A190" s="1" t="s">
        <v>31</v>
      </c>
      <c r="B190" s="1"/>
      <c r="C190" s="3">
        <v>45919</v>
      </c>
      <c r="D190" s="1" t="s">
        <v>49</v>
      </c>
      <c r="E190" s="1"/>
      <c r="F190" s="4" t="s">
        <v>1809</v>
      </c>
      <c r="G190" s="1">
        <v>2013</v>
      </c>
      <c r="H190" s="1" t="s">
        <v>1810</v>
      </c>
      <c r="I190" s="1" t="s">
        <v>233</v>
      </c>
      <c r="J190" s="1" t="s">
        <v>1811</v>
      </c>
      <c r="K190" s="1" t="s">
        <v>1811</v>
      </c>
      <c r="L190" s="1"/>
      <c r="M190" s="1" t="s">
        <v>1812</v>
      </c>
      <c r="N190" s="5" t="str">
        <f>HYPERLINK("https://www.google.com/maps/search/?api=1&amp;query=187-13 TIOGA DRIVE, SAINT ALBANS, NY 11412", "OPEN MAP")</f>
        <v>OPEN MAP</v>
      </c>
      <c r="O190" s="1" t="s">
        <v>1813</v>
      </c>
      <c r="P190" s="1" t="s">
        <v>1253</v>
      </c>
      <c r="Q190" s="1" t="s">
        <v>43</v>
      </c>
      <c r="R190" s="1">
        <v>11412</v>
      </c>
      <c r="S190" s="6" t="s">
        <v>1814</v>
      </c>
      <c r="T190" s="7"/>
      <c r="U190" s="8">
        <v>43532</v>
      </c>
      <c r="V190" s="8"/>
      <c r="W190" s="7"/>
      <c r="X190" s="8"/>
      <c r="Y190" s="7"/>
      <c r="Z190" s="1"/>
      <c r="AA190" s="1" t="s">
        <v>60</v>
      </c>
      <c r="AB190" s="1" t="s">
        <v>61</v>
      </c>
      <c r="AC190" s="1"/>
      <c r="AD190" s="1" t="s">
        <v>191</v>
      </c>
      <c r="AE190" s="1"/>
    </row>
    <row r="191" spans="1:31" x14ac:dyDescent="0.2">
      <c r="A191" s="9" t="s">
        <v>31</v>
      </c>
      <c r="B191" s="9"/>
      <c r="C191" s="10">
        <v>45919</v>
      </c>
      <c r="D191" s="9" t="s">
        <v>49</v>
      </c>
      <c r="E191" s="9"/>
      <c r="F191" s="11" t="s">
        <v>1815</v>
      </c>
      <c r="G191" s="9">
        <v>2024</v>
      </c>
      <c r="H191" s="9" t="s">
        <v>1816</v>
      </c>
      <c r="I191" s="9" t="s">
        <v>1817</v>
      </c>
      <c r="J191" s="9" t="s">
        <v>1818</v>
      </c>
      <c r="K191" s="9" t="s">
        <v>1818</v>
      </c>
      <c r="L191" s="9"/>
      <c r="M191" s="9" t="s">
        <v>1819</v>
      </c>
      <c r="N191" s="12" t="str">
        <f>HYPERLINK("https://www.google.com/maps/search/?api=1&amp;query=110-22 223rd Street, Queens Village, NY 11429", "OPEN MAP")</f>
        <v>OPEN MAP</v>
      </c>
      <c r="O191" s="9" t="s">
        <v>1820</v>
      </c>
      <c r="P191" s="9" t="s">
        <v>178</v>
      </c>
      <c r="Q191" s="9" t="s">
        <v>43</v>
      </c>
      <c r="R191" s="9">
        <v>11429</v>
      </c>
      <c r="S191" s="13" t="s">
        <v>1821</v>
      </c>
      <c r="T191" s="14"/>
      <c r="U191" s="15"/>
      <c r="V191" s="15">
        <v>44790</v>
      </c>
      <c r="W191" s="14">
        <v>215825</v>
      </c>
      <c r="X191" s="15"/>
      <c r="Y191" s="14"/>
      <c r="Z191" s="9" t="s">
        <v>1822</v>
      </c>
      <c r="AA191" s="9" t="s">
        <v>1377</v>
      </c>
      <c r="AB191" s="9" t="s">
        <v>518</v>
      </c>
      <c r="AC191" s="9" t="s">
        <v>519</v>
      </c>
      <c r="AD191" s="9"/>
      <c r="AE191" s="9"/>
    </row>
    <row r="192" spans="1:31" x14ac:dyDescent="0.2">
      <c r="A192" s="1" t="s">
        <v>31</v>
      </c>
      <c r="B192" s="1"/>
      <c r="C192" s="3">
        <v>45919</v>
      </c>
      <c r="D192" s="1" t="s">
        <v>49</v>
      </c>
      <c r="E192" s="1"/>
      <c r="F192" s="4" t="s">
        <v>1823</v>
      </c>
      <c r="G192" s="1">
        <v>2023</v>
      </c>
      <c r="H192" s="1" t="s">
        <v>1824</v>
      </c>
      <c r="I192" s="1" t="s">
        <v>1825</v>
      </c>
      <c r="J192" s="1" t="s">
        <v>1826</v>
      </c>
      <c r="K192" s="1" t="s">
        <v>1827</v>
      </c>
      <c r="L192" s="1" t="s">
        <v>1828</v>
      </c>
      <c r="M192" s="1" t="s">
        <v>1829</v>
      </c>
      <c r="N192" s="5" t="str">
        <f>HYPERLINK("https://www.google.com/maps/search/?api=1&amp;query=7612 164TH STREET, FRESH MEADOWS, NEW YORK 11366", "OPEN MAP")</f>
        <v>OPEN MAP</v>
      </c>
      <c r="O192" s="1" t="s">
        <v>1830</v>
      </c>
      <c r="P192" s="1" t="s">
        <v>1831</v>
      </c>
      <c r="Q192" s="1" t="s">
        <v>765</v>
      </c>
      <c r="R192" s="1">
        <v>11366</v>
      </c>
      <c r="S192" s="6" t="s">
        <v>1832</v>
      </c>
      <c r="T192" s="7"/>
      <c r="U192" s="8"/>
      <c r="V192" s="8">
        <v>38605</v>
      </c>
      <c r="W192" s="7">
        <v>465000</v>
      </c>
      <c r="X192" s="8">
        <v>40483</v>
      </c>
      <c r="Y192" s="7"/>
      <c r="Z192" s="1" t="s">
        <v>1833</v>
      </c>
      <c r="AA192" s="1" t="s">
        <v>60</v>
      </c>
      <c r="AB192" s="1" t="s">
        <v>768</v>
      </c>
      <c r="AC192" s="1" t="s">
        <v>769</v>
      </c>
      <c r="AD192" s="1"/>
      <c r="AE192" s="1"/>
    </row>
    <row r="193" spans="1:31" x14ac:dyDescent="0.2">
      <c r="A193" s="9" t="s">
        <v>31</v>
      </c>
      <c r="B193" s="9"/>
      <c r="C193" s="10">
        <v>45919</v>
      </c>
      <c r="D193" s="9" t="s">
        <v>49</v>
      </c>
      <c r="E193" s="9" t="s">
        <v>33</v>
      </c>
      <c r="F193" s="11" t="s">
        <v>1834</v>
      </c>
      <c r="G193" s="9">
        <v>2012</v>
      </c>
      <c r="H193" s="9" t="s">
        <v>1835</v>
      </c>
      <c r="I193" s="9" t="s">
        <v>1061</v>
      </c>
      <c r="J193" s="9" t="s">
        <v>1836</v>
      </c>
      <c r="K193" s="9" t="s">
        <v>1837</v>
      </c>
      <c r="L193" s="9" t="s">
        <v>1838</v>
      </c>
      <c r="M193" s="9" t="s">
        <v>1839</v>
      </c>
      <c r="N193" s="12" t="str">
        <f>HYPERLINK("https://www.google.com/maps/search/?api=1&amp;query=133-62 AKA 133-56 HOOK CREEK BOULEVARD, ROSEDALE, NY 11422", "OPEN MAP")</f>
        <v>OPEN MAP</v>
      </c>
      <c r="O193" s="9" t="s">
        <v>1840</v>
      </c>
      <c r="P193" s="9" t="s">
        <v>1688</v>
      </c>
      <c r="Q193" s="9" t="s">
        <v>43</v>
      </c>
      <c r="R193" s="9">
        <v>11422</v>
      </c>
      <c r="S193" s="13" t="s">
        <v>1841</v>
      </c>
      <c r="T193" s="14">
        <v>473911.34</v>
      </c>
      <c r="U193" s="15">
        <v>43398</v>
      </c>
      <c r="V193" s="15"/>
      <c r="W193" s="14"/>
      <c r="X193" s="15"/>
      <c r="Y193" s="14"/>
      <c r="Z193" s="9" t="s">
        <v>779</v>
      </c>
      <c r="AA193" s="9" t="s">
        <v>780</v>
      </c>
      <c r="AB193" s="9" t="s">
        <v>781</v>
      </c>
      <c r="AC193" s="9"/>
      <c r="AD193" s="9" t="s">
        <v>1842</v>
      </c>
      <c r="AE193" s="9"/>
    </row>
    <row r="194" spans="1:31" x14ac:dyDescent="0.2">
      <c r="A194" s="1" t="s">
        <v>31</v>
      </c>
      <c r="B194" s="1"/>
      <c r="C194" s="3">
        <v>45919</v>
      </c>
      <c r="D194" s="1" t="s">
        <v>49</v>
      </c>
      <c r="E194" s="1"/>
      <c r="F194" s="4" t="s">
        <v>1843</v>
      </c>
      <c r="G194" s="1">
        <v>2019</v>
      </c>
      <c r="H194" s="1" t="s">
        <v>1844</v>
      </c>
      <c r="I194" s="1" t="s">
        <v>1845</v>
      </c>
      <c r="J194" s="1" t="s">
        <v>1846</v>
      </c>
      <c r="K194" s="1" t="s">
        <v>1846</v>
      </c>
      <c r="L194" s="1"/>
      <c r="M194" s="1" t="s">
        <v>1847</v>
      </c>
      <c r="N194" s="5" t="str">
        <f>HYPERLINK("https://www.google.com/maps/search/?api=1&amp;query=4721 DITMARS BOULEVARD ASTORIA, NY 11105", "OPEN MAP")</f>
        <v>OPEN MAP</v>
      </c>
      <c r="O194" s="1" t="s">
        <v>1848</v>
      </c>
      <c r="P194" s="1" t="s">
        <v>1139</v>
      </c>
      <c r="Q194" s="1" t="s">
        <v>43</v>
      </c>
      <c r="R194" s="1">
        <v>11105</v>
      </c>
      <c r="S194" s="6" t="s">
        <v>1849</v>
      </c>
      <c r="T194" s="7"/>
      <c r="U194" s="8"/>
      <c r="V194" s="8">
        <v>38887</v>
      </c>
      <c r="W194" s="7">
        <v>305400</v>
      </c>
      <c r="X194" s="8"/>
      <c r="Y194" s="7"/>
      <c r="Z194" s="1" t="s">
        <v>1850</v>
      </c>
      <c r="AA194" s="1" t="s">
        <v>91</v>
      </c>
      <c r="AB194" s="1" t="s">
        <v>518</v>
      </c>
      <c r="AC194" s="1" t="s">
        <v>519</v>
      </c>
      <c r="AD194" s="1"/>
      <c r="AE194" s="1"/>
    </row>
    <row r="195" spans="1:31" x14ac:dyDescent="0.2">
      <c r="A195" s="9" t="s">
        <v>31</v>
      </c>
      <c r="B195" s="9"/>
      <c r="C195" s="10">
        <v>45919</v>
      </c>
      <c r="D195" s="9" t="s">
        <v>32</v>
      </c>
      <c r="E195" s="9"/>
      <c r="F195" s="11" t="s">
        <v>1851</v>
      </c>
      <c r="G195" s="9">
        <v>2019</v>
      </c>
      <c r="H195" s="9" t="s">
        <v>1852</v>
      </c>
      <c r="I195" s="9" t="s">
        <v>1853</v>
      </c>
      <c r="J195" s="9" t="s">
        <v>1854</v>
      </c>
      <c r="K195" s="9" t="s">
        <v>1855</v>
      </c>
      <c r="L195" s="9" t="s">
        <v>1854</v>
      </c>
      <c r="M195" s="9" t="s">
        <v>1856</v>
      </c>
      <c r="N195" s="12" t="str">
        <f>HYPERLINK("https://www.google.com/maps/search/?api=1&amp;query=31-28 28th Road, Astoria, NY 11102", "OPEN MAP")</f>
        <v>OPEN MAP</v>
      </c>
      <c r="O195" s="9" t="s">
        <v>1857</v>
      </c>
      <c r="P195" s="9" t="s">
        <v>1013</v>
      </c>
      <c r="Q195" s="9" t="s">
        <v>43</v>
      </c>
      <c r="R195" s="9">
        <v>11102</v>
      </c>
      <c r="S195" s="13" t="s">
        <v>1858</v>
      </c>
      <c r="T195" s="14">
        <v>1195008.71</v>
      </c>
      <c r="U195" s="15">
        <v>45026</v>
      </c>
      <c r="V195" s="15"/>
      <c r="W195" s="14"/>
      <c r="X195" s="15"/>
      <c r="Y195" s="14"/>
      <c r="Z195" s="9"/>
      <c r="AA195" s="9" t="s">
        <v>1356</v>
      </c>
      <c r="AB195" s="9" t="s">
        <v>1357</v>
      </c>
      <c r="AC195" s="9"/>
      <c r="AD195" s="9" t="s">
        <v>1859</v>
      </c>
      <c r="AE195" s="9"/>
    </row>
    <row r="196" spans="1:31" x14ac:dyDescent="0.2">
      <c r="A196" s="1" t="s">
        <v>31</v>
      </c>
      <c r="B196" s="1"/>
      <c r="C196" s="3">
        <v>45919</v>
      </c>
      <c r="D196" s="1" t="s">
        <v>49</v>
      </c>
      <c r="E196" s="1"/>
      <c r="F196" s="4" t="s">
        <v>1860</v>
      </c>
      <c r="G196" s="1">
        <v>2020</v>
      </c>
      <c r="H196" s="1" t="s">
        <v>1861</v>
      </c>
      <c r="I196" s="1" t="s">
        <v>1862</v>
      </c>
      <c r="J196" s="1" t="s">
        <v>1863</v>
      </c>
      <c r="K196" s="1" t="s">
        <v>1864</v>
      </c>
      <c r="L196" s="1" t="s">
        <v>1865</v>
      </c>
      <c r="M196" s="1" t="s">
        <v>1866</v>
      </c>
      <c r="N196" s="5" t="str">
        <f>HYPERLINK("https://www.google.com/maps/search/?api=1&amp;query=48-27 Francis Lewis Boulevard, Oakland Gardens, NY 11364", "OPEN MAP")</f>
        <v>OPEN MAP</v>
      </c>
      <c r="O196" s="1" t="s">
        <v>1867</v>
      </c>
      <c r="P196" s="1" t="s">
        <v>1868</v>
      </c>
      <c r="Q196" s="1" t="s">
        <v>43</v>
      </c>
      <c r="R196" s="1">
        <v>11364</v>
      </c>
      <c r="S196" s="6" t="s">
        <v>1869</v>
      </c>
      <c r="T196" s="7">
        <v>880395.9</v>
      </c>
      <c r="U196" s="8">
        <v>45147</v>
      </c>
      <c r="V196" s="8"/>
      <c r="W196" s="7"/>
      <c r="X196" s="8"/>
      <c r="Y196" s="7"/>
      <c r="Z196" s="1" t="s">
        <v>830</v>
      </c>
      <c r="AA196" s="1" t="s">
        <v>747</v>
      </c>
      <c r="AB196" s="1" t="s">
        <v>748</v>
      </c>
      <c r="AC196" s="1" t="s">
        <v>749</v>
      </c>
      <c r="AD196" s="1" t="s">
        <v>1870</v>
      </c>
      <c r="AE196" s="1"/>
    </row>
    <row r="197" spans="1:31" x14ac:dyDescent="0.2">
      <c r="A197" s="9" t="s">
        <v>31</v>
      </c>
      <c r="B197" s="9"/>
      <c r="C197" s="10">
        <v>45919</v>
      </c>
      <c r="D197" s="9" t="s">
        <v>32</v>
      </c>
      <c r="E197" s="9"/>
      <c r="F197" s="11" t="s">
        <v>1871</v>
      </c>
      <c r="G197" s="9">
        <v>2023</v>
      </c>
      <c r="H197" s="9" t="s">
        <v>1872</v>
      </c>
      <c r="I197" s="9" t="s">
        <v>1873</v>
      </c>
      <c r="J197" s="9" t="s">
        <v>1874</v>
      </c>
      <c r="K197" s="9" t="s">
        <v>1874</v>
      </c>
      <c r="L197" s="9"/>
      <c r="M197" s="9" t="s">
        <v>1875</v>
      </c>
      <c r="N197" s="12" t="str">
        <f>HYPERLINK("https://www.google.com/maps/search/?api=1&amp;query=241-11 149th Street, Rosedale, New York 11422", "OPEN MAP")</f>
        <v>OPEN MAP</v>
      </c>
      <c r="O197" s="9" t="s">
        <v>1876</v>
      </c>
      <c r="P197" s="9" t="s">
        <v>851</v>
      </c>
      <c r="Q197" s="9" t="s">
        <v>251</v>
      </c>
      <c r="R197" s="9">
        <v>11422</v>
      </c>
      <c r="S197" s="13" t="s">
        <v>1877</v>
      </c>
      <c r="T197" s="14"/>
      <c r="U197" s="15"/>
      <c r="V197" s="15">
        <v>39066</v>
      </c>
      <c r="W197" s="14">
        <v>51990</v>
      </c>
      <c r="X197" s="15"/>
      <c r="Y197" s="14"/>
      <c r="Z197" s="9" t="s">
        <v>1878</v>
      </c>
      <c r="AA197" s="9" t="s">
        <v>1879</v>
      </c>
      <c r="AB197" s="9" t="s">
        <v>1880</v>
      </c>
      <c r="AC197" s="9" t="s">
        <v>1881</v>
      </c>
      <c r="AD197" s="9"/>
      <c r="AE197" s="9"/>
    </row>
    <row r="198" spans="1:31" x14ac:dyDescent="0.2">
      <c r="A198" s="1" t="s">
        <v>31</v>
      </c>
      <c r="B198" s="1"/>
      <c r="C198" s="3">
        <v>45919</v>
      </c>
      <c r="D198" s="1" t="s">
        <v>49</v>
      </c>
      <c r="E198" s="1"/>
      <c r="F198" s="4" t="s">
        <v>1882</v>
      </c>
      <c r="G198" s="1">
        <v>2017</v>
      </c>
      <c r="H198" s="1" t="s">
        <v>1883</v>
      </c>
      <c r="I198" s="1" t="s">
        <v>1884</v>
      </c>
      <c r="J198" s="1" t="s">
        <v>1885</v>
      </c>
      <c r="K198" s="1" t="s">
        <v>1885</v>
      </c>
      <c r="L198" s="1"/>
      <c r="M198" s="1" t="s">
        <v>1886</v>
      </c>
      <c r="N198" s="5" t="str">
        <f>HYPERLINK("https://www.google.com/maps/search/?api=1&amp;query=114-58 204TH STREET, SAINT ALBANS, NY 11412", "OPEN MAP")</f>
        <v>OPEN MAP</v>
      </c>
      <c r="O198" s="1" t="s">
        <v>1887</v>
      </c>
      <c r="P198" s="1" t="s">
        <v>1253</v>
      </c>
      <c r="Q198" s="1" t="s">
        <v>43</v>
      </c>
      <c r="R198" s="1">
        <v>11412</v>
      </c>
      <c r="S198" s="6" t="s">
        <v>1888</v>
      </c>
      <c r="T198" s="7"/>
      <c r="U198" s="8">
        <v>45491</v>
      </c>
      <c r="V198" s="8"/>
      <c r="W198" s="7"/>
      <c r="X198" s="8"/>
      <c r="Y198" s="7"/>
      <c r="Z198" s="1"/>
      <c r="AA198" s="1" t="s">
        <v>60</v>
      </c>
      <c r="AB198" s="1" t="s">
        <v>61</v>
      </c>
      <c r="AC198" s="1"/>
      <c r="AD198" s="1" t="s">
        <v>1859</v>
      </c>
      <c r="AE198" s="1"/>
    </row>
    <row r="199" spans="1:31" x14ac:dyDescent="0.2">
      <c r="A199" s="9" t="s">
        <v>31</v>
      </c>
      <c r="B199" s="9"/>
      <c r="C199" s="10">
        <v>45919</v>
      </c>
      <c r="D199" s="9" t="s">
        <v>32</v>
      </c>
      <c r="E199" s="9"/>
      <c r="F199" s="11" t="s">
        <v>1889</v>
      </c>
      <c r="G199" s="9">
        <v>2023</v>
      </c>
      <c r="H199" s="9" t="s">
        <v>1890</v>
      </c>
      <c r="I199" s="9" t="s">
        <v>1891</v>
      </c>
      <c r="J199" s="9" t="s">
        <v>1892</v>
      </c>
      <c r="K199" s="9" t="s">
        <v>1892</v>
      </c>
      <c r="L199" s="9"/>
      <c r="M199" s="9" t="s">
        <v>1893</v>
      </c>
      <c r="N199" s="12" t="str">
        <f>HYPERLINK("https://www.google.com/maps/search/?api=1&amp;query=195 Beach 26th Street, Far Rockaway, NY 11691", "OPEN MAP")</f>
        <v>OPEN MAP</v>
      </c>
      <c r="O199" s="9" t="s">
        <v>1894</v>
      </c>
      <c r="P199" s="9" t="s">
        <v>138</v>
      </c>
      <c r="Q199" s="9" t="s">
        <v>43</v>
      </c>
      <c r="R199" s="9">
        <v>11691</v>
      </c>
      <c r="S199" s="13" t="s">
        <v>1895</v>
      </c>
      <c r="T199" s="14">
        <v>383555.43</v>
      </c>
      <c r="U199" s="15">
        <v>45470</v>
      </c>
      <c r="V199" s="15"/>
      <c r="W199" s="14"/>
      <c r="X199" s="15"/>
      <c r="Y199" s="14"/>
      <c r="Z199" s="9"/>
      <c r="AA199" s="9" t="s">
        <v>1325</v>
      </c>
      <c r="AB199" s="9" t="s">
        <v>309</v>
      </c>
      <c r="AC199" s="9"/>
      <c r="AD199" s="9" t="s">
        <v>1896</v>
      </c>
      <c r="AE199" s="9"/>
    </row>
    <row r="200" spans="1:31" x14ac:dyDescent="0.2">
      <c r="A200" s="1" t="s">
        <v>31</v>
      </c>
      <c r="B200" s="1"/>
      <c r="C200" s="3">
        <v>45919</v>
      </c>
      <c r="D200" s="1" t="s">
        <v>49</v>
      </c>
      <c r="E200" s="1"/>
      <c r="F200" s="4" t="s">
        <v>1897</v>
      </c>
      <c r="G200" s="1">
        <v>2014</v>
      </c>
      <c r="H200" s="1" t="s">
        <v>1898</v>
      </c>
      <c r="I200" s="1" t="s">
        <v>1061</v>
      </c>
      <c r="J200" s="1" t="s">
        <v>1899</v>
      </c>
      <c r="K200" s="1" t="s">
        <v>1900</v>
      </c>
      <c r="L200" s="1" t="s">
        <v>1901</v>
      </c>
      <c r="M200" s="1" t="s">
        <v>1902</v>
      </c>
      <c r="N200" s="5" t="str">
        <f>HYPERLINK("https://www.google.com/maps/search/?api=1&amp;query=3217 106TH STREET, EAST ELMHURST, NY", "OPEN MAP")</f>
        <v>OPEN MAP</v>
      </c>
      <c r="O200" s="1" t="s">
        <v>1903</v>
      </c>
      <c r="P200" s="1" t="s">
        <v>58</v>
      </c>
      <c r="Q200" s="1" t="s">
        <v>43</v>
      </c>
      <c r="R200" s="1">
        <v>11369</v>
      </c>
      <c r="S200" s="6" t="s">
        <v>1904</v>
      </c>
      <c r="T200" s="7">
        <v>1040507.62</v>
      </c>
      <c r="U200" s="8">
        <v>44169</v>
      </c>
      <c r="V200" s="8"/>
      <c r="W200" s="7"/>
      <c r="X200" s="8"/>
      <c r="Y200" s="7"/>
      <c r="Z200" s="1" t="s">
        <v>1905</v>
      </c>
      <c r="AA200" s="1" t="s">
        <v>780</v>
      </c>
      <c r="AB200" s="1" t="s">
        <v>1069</v>
      </c>
      <c r="AC200" s="1"/>
      <c r="AD200" s="1" t="s">
        <v>1906</v>
      </c>
      <c r="AE200" s="1"/>
    </row>
    <row r="201" spans="1:31" x14ac:dyDescent="0.2">
      <c r="A201" s="9" t="s">
        <v>31</v>
      </c>
      <c r="B201" s="9"/>
      <c r="C201" s="10">
        <v>45919</v>
      </c>
      <c r="D201" s="9" t="s">
        <v>49</v>
      </c>
      <c r="E201" s="9"/>
      <c r="F201" s="11" t="s">
        <v>1907</v>
      </c>
      <c r="G201" s="9">
        <v>2015</v>
      </c>
      <c r="H201" s="9" t="s">
        <v>1908</v>
      </c>
      <c r="I201" s="9" t="s">
        <v>1909</v>
      </c>
      <c r="J201" s="9" t="s">
        <v>1910</v>
      </c>
      <c r="K201" s="9" t="s">
        <v>1911</v>
      </c>
      <c r="L201" s="9" t="s">
        <v>1912</v>
      </c>
      <c r="M201" s="9" t="s">
        <v>1913</v>
      </c>
      <c r="N201" s="12" t="str">
        <f>HYPERLINK("https://www.google.com/maps/search/?api=1&amp;query=123-01 109th Street, South Ozone Park, NY 11420", "OPEN MAP")</f>
        <v>OPEN MAP</v>
      </c>
      <c r="O201" s="9" t="s">
        <v>1914</v>
      </c>
      <c r="P201" s="9" t="s">
        <v>237</v>
      </c>
      <c r="Q201" s="9" t="s">
        <v>43</v>
      </c>
      <c r="R201" s="9">
        <v>11420</v>
      </c>
      <c r="S201" s="13" t="s">
        <v>1915</v>
      </c>
      <c r="T201" s="14">
        <v>604020.62</v>
      </c>
      <c r="U201" s="15">
        <v>45002</v>
      </c>
      <c r="V201" s="15"/>
      <c r="W201" s="14"/>
      <c r="X201" s="15"/>
      <c r="Y201" s="14"/>
      <c r="Z201" s="9"/>
      <c r="AA201" s="9" t="s">
        <v>348</v>
      </c>
      <c r="AB201" s="9" t="s">
        <v>349</v>
      </c>
      <c r="AC201" s="9"/>
      <c r="AD201" s="9" t="s">
        <v>1552</v>
      </c>
      <c r="AE201" s="9"/>
    </row>
    <row r="202" spans="1:31" x14ac:dyDescent="0.2">
      <c r="A202" s="1" t="s">
        <v>31</v>
      </c>
      <c r="B202" s="1"/>
      <c r="C202" s="3">
        <v>45919</v>
      </c>
      <c r="D202" s="1" t="s">
        <v>32</v>
      </c>
      <c r="E202" s="1"/>
      <c r="F202" s="4" t="s">
        <v>1916</v>
      </c>
      <c r="G202" s="1">
        <v>2024</v>
      </c>
      <c r="H202" s="1" t="s">
        <v>1917</v>
      </c>
      <c r="I202" s="1" t="s">
        <v>203</v>
      </c>
      <c r="J202" s="1" t="s">
        <v>1918</v>
      </c>
      <c r="K202" s="1" t="s">
        <v>1919</v>
      </c>
      <c r="L202" s="1" t="s">
        <v>1920</v>
      </c>
      <c r="M202" s="1" t="s">
        <v>1921</v>
      </c>
      <c r="N202" s="5" t="str">
        <f>HYPERLINK("https://www.google.com/maps/search/?api=1&amp;query=132-51 159th Street, Jamaica, NY 11434", "OPEN MAP")</f>
        <v>OPEN MAP</v>
      </c>
      <c r="O202" s="1" t="s">
        <v>1922</v>
      </c>
      <c r="P202" s="1" t="s">
        <v>42</v>
      </c>
      <c r="Q202" s="1" t="s">
        <v>43</v>
      </c>
      <c r="R202" s="1">
        <v>11434</v>
      </c>
      <c r="S202" s="6" t="s">
        <v>1923</v>
      </c>
      <c r="T202" s="7"/>
      <c r="U202" s="8"/>
      <c r="V202" s="8">
        <v>38616</v>
      </c>
      <c r="W202" s="7">
        <v>440000</v>
      </c>
      <c r="X202" s="8">
        <v>39753</v>
      </c>
      <c r="Y202" s="7">
        <v>470172.05</v>
      </c>
      <c r="Z202" s="1" t="s">
        <v>1924</v>
      </c>
      <c r="AA202" s="1" t="s">
        <v>1925</v>
      </c>
      <c r="AB202" s="1" t="s">
        <v>1113</v>
      </c>
      <c r="AC202" s="1" t="s">
        <v>1114</v>
      </c>
      <c r="AD202" s="1"/>
      <c r="AE202" s="1"/>
    </row>
    <row r="203" spans="1:31" x14ac:dyDescent="0.2">
      <c r="A203" s="9" t="s">
        <v>31</v>
      </c>
      <c r="B203" s="9"/>
      <c r="C203" s="10">
        <v>45926</v>
      </c>
      <c r="D203" s="9" t="s">
        <v>49</v>
      </c>
      <c r="E203" s="9"/>
      <c r="F203" s="11" t="s">
        <v>1926</v>
      </c>
      <c r="G203" s="9">
        <v>2023</v>
      </c>
      <c r="H203" s="9" t="s">
        <v>1927</v>
      </c>
      <c r="I203" s="9" t="s">
        <v>233</v>
      </c>
      <c r="J203" s="9" t="s">
        <v>1900</v>
      </c>
      <c r="K203" s="9" t="s">
        <v>1900</v>
      </c>
      <c r="L203" s="9"/>
      <c r="M203" s="9" t="s">
        <v>1928</v>
      </c>
      <c r="N203" s="12" t="str">
        <f>HYPERLINK("https://www.google.com/maps/search/?api=1&amp;query=70-46 67th Street, Glendale, NY 11385", "OPEN MAP")</f>
        <v>OPEN MAP</v>
      </c>
      <c r="O203" s="9" t="s">
        <v>1929</v>
      </c>
      <c r="P203" s="9" t="s">
        <v>1930</v>
      </c>
      <c r="Q203" s="9" t="s">
        <v>43</v>
      </c>
      <c r="R203" s="9">
        <v>11385</v>
      </c>
      <c r="S203" s="13" t="s">
        <v>1931</v>
      </c>
      <c r="T203" s="14">
        <v>911918</v>
      </c>
      <c r="U203" s="15">
        <v>45588</v>
      </c>
      <c r="V203" s="15"/>
      <c r="W203" s="14"/>
      <c r="X203" s="15"/>
      <c r="Y203" s="14"/>
      <c r="Z203" s="9"/>
      <c r="AA203" s="9" t="s">
        <v>426</v>
      </c>
      <c r="AB203" s="9" t="s">
        <v>427</v>
      </c>
      <c r="AC203" s="9"/>
      <c r="AD203" s="9" t="s">
        <v>1932</v>
      </c>
      <c r="AE203" s="9"/>
    </row>
    <row r="204" spans="1:31" x14ac:dyDescent="0.2">
      <c r="A204" s="1" t="s">
        <v>31</v>
      </c>
      <c r="B204" s="1"/>
      <c r="C204" s="3">
        <v>45926</v>
      </c>
      <c r="D204" s="1" t="s">
        <v>49</v>
      </c>
      <c r="E204" s="1"/>
      <c r="F204" s="4" t="s">
        <v>1933</v>
      </c>
      <c r="G204" s="1">
        <v>2023</v>
      </c>
      <c r="H204" s="1" t="s">
        <v>1934</v>
      </c>
      <c r="I204" s="1" t="s">
        <v>85</v>
      </c>
      <c r="J204" s="1" t="s">
        <v>1935</v>
      </c>
      <c r="K204" s="1" t="s">
        <v>1935</v>
      </c>
      <c r="L204" s="1"/>
      <c r="M204" s="1" t="s">
        <v>1936</v>
      </c>
      <c r="N204" s="5" t="str">
        <f>HYPERLINK("https://www.google.com/maps/search/?api=1&amp;query=620 Beach 69th Street, Arverne, NY 11692", "OPEN MAP")</f>
        <v>OPEN MAP</v>
      </c>
      <c r="O204" s="1" t="s">
        <v>1937</v>
      </c>
      <c r="P204" s="1" t="s">
        <v>480</v>
      </c>
      <c r="Q204" s="1" t="s">
        <v>43</v>
      </c>
      <c r="R204" s="1">
        <v>11692</v>
      </c>
      <c r="S204" s="6" t="s">
        <v>1938</v>
      </c>
      <c r="T204" s="7">
        <v>676203.69</v>
      </c>
      <c r="U204" s="8">
        <v>45498</v>
      </c>
      <c r="V204" s="8"/>
      <c r="W204" s="7"/>
      <c r="X204" s="8"/>
      <c r="Y204" s="7"/>
      <c r="Z204" s="1"/>
      <c r="AA204" s="1" t="s">
        <v>1779</v>
      </c>
      <c r="AB204" s="1" t="s">
        <v>1780</v>
      </c>
      <c r="AC204" s="1" t="s">
        <v>845</v>
      </c>
      <c r="AD204" s="1" t="s">
        <v>1939</v>
      </c>
      <c r="AE204" s="1"/>
    </row>
    <row r="205" spans="1:31" x14ac:dyDescent="0.2">
      <c r="A205" s="9" t="s">
        <v>115</v>
      </c>
      <c r="B205" s="9"/>
      <c r="C205" s="10">
        <v>45926</v>
      </c>
      <c r="D205" s="9" t="s">
        <v>49</v>
      </c>
      <c r="E205" s="9"/>
      <c r="F205" s="11" t="s">
        <v>1940</v>
      </c>
      <c r="G205" s="9">
        <v>2022</v>
      </c>
      <c r="H205" s="9" t="s">
        <v>1941</v>
      </c>
      <c r="I205" s="9" t="s">
        <v>1942</v>
      </c>
      <c r="J205" s="9" t="s">
        <v>1943</v>
      </c>
      <c r="K205" s="9" t="s">
        <v>1944</v>
      </c>
      <c r="L205" s="9" t="s">
        <v>1945</v>
      </c>
      <c r="M205" s="9" t="s">
        <v>1946</v>
      </c>
      <c r="N205" s="12" t="str">
        <f>HYPERLINK("https://www.google.com/maps/search/?api=1&amp;query=105-32 130th Street, South Richmond Hill, New York 11419", "OPEN MAP")</f>
        <v>OPEN MAP</v>
      </c>
      <c r="O205" s="9" t="s">
        <v>1947</v>
      </c>
      <c r="P205" s="9" t="s">
        <v>110</v>
      </c>
      <c r="Q205" s="9" t="s">
        <v>251</v>
      </c>
      <c r="R205" s="9">
        <v>11419</v>
      </c>
      <c r="S205" s="13" t="s">
        <v>1948</v>
      </c>
      <c r="T205" s="14"/>
      <c r="U205" s="15"/>
      <c r="V205" s="15">
        <v>42147</v>
      </c>
      <c r="W205" s="14">
        <v>347000</v>
      </c>
      <c r="X205" s="15"/>
      <c r="Y205" s="14"/>
      <c r="Z205" s="9" t="s">
        <v>1949</v>
      </c>
      <c r="AA205" s="9" t="s">
        <v>239</v>
      </c>
      <c r="AB205" s="9" t="s">
        <v>240</v>
      </c>
      <c r="AC205" s="9" t="s">
        <v>1950</v>
      </c>
      <c r="AD205" s="9"/>
      <c r="AE205" s="9"/>
    </row>
    <row r="206" spans="1:31" x14ac:dyDescent="0.2">
      <c r="A206" s="1" t="s">
        <v>31</v>
      </c>
      <c r="B206" s="1"/>
      <c r="C206" s="3">
        <v>45926</v>
      </c>
      <c r="D206" s="1" t="s">
        <v>49</v>
      </c>
      <c r="E206" s="1"/>
      <c r="F206" s="4" t="s">
        <v>1951</v>
      </c>
      <c r="G206" s="1">
        <v>2023</v>
      </c>
      <c r="H206" s="1" t="s">
        <v>1952</v>
      </c>
      <c r="I206" s="1" t="s">
        <v>1953</v>
      </c>
      <c r="J206" s="1" t="s">
        <v>1954</v>
      </c>
      <c r="K206" s="1" t="s">
        <v>1955</v>
      </c>
      <c r="L206" s="1" t="s">
        <v>1956</v>
      </c>
      <c r="M206" s="1" t="s">
        <v>1957</v>
      </c>
      <c r="N206" s="5" t="str">
        <f>HYPERLINK("https://www.google.com/maps/search/?api=1&amp;query=115-25 115TH STREET, SOUTH OZONE PARK, NEW YORK 11420", "OPEN MAP")</f>
        <v>OPEN MAP</v>
      </c>
      <c r="O206" s="1" t="s">
        <v>1958</v>
      </c>
      <c r="P206" s="1" t="s">
        <v>207</v>
      </c>
      <c r="Q206" s="1" t="s">
        <v>765</v>
      </c>
      <c r="R206" s="1">
        <v>11420</v>
      </c>
      <c r="S206" s="6" t="s">
        <v>1959</v>
      </c>
      <c r="T206" s="7"/>
      <c r="U206" s="8"/>
      <c r="V206" s="8">
        <v>38841</v>
      </c>
      <c r="W206" s="7">
        <v>432000</v>
      </c>
      <c r="X206" s="8"/>
      <c r="Y206" s="7"/>
      <c r="Z206" s="1" t="s">
        <v>1960</v>
      </c>
      <c r="AA206" s="1" t="s">
        <v>1961</v>
      </c>
      <c r="AB206" s="1" t="s">
        <v>768</v>
      </c>
      <c r="AC206" s="1" t="s">
        <v>769</v>
      </c>
      <c r="AD206" s="1"/>
      <c r="AE206" s="1"/>
    </row>
    <row r="207" spans="1:31" x14ac:dyDescent="0.2">
      <c r="A207" s="9" t="s">
        <v>31</v>
      </c>
      <c r="B207" s="9"/>
      <c r="C207" s="10">
        <v>45926</v>
      </c>
      <c r="D207" s="9" t="s">
        <v>49</v>
      </c>
      <c r="E207" s="9"/>
      <c r="F207" s="11" t="s">
        <v>1962</v>
      </c>
      <c r="G207" s="9">
        <v>2024</v>
      </c>
      <c r="H207" s="9" t="s">
        <v>1963</v>
      </c>
      <c r="I207" s="9" t="s">
        <v>1964</v>
      </c>
      <c r="J207" s="9" t="s">
        <v>1965</v>
      </c>
      <c r="K207" s="9" t="s">
        <v>1966</v>
      </c>
      <c r="L207" s="9"/>
      <c r="M207" s="9" t="s">
        <v>1967</v>
      </c>
      <c r="N207" s="12" t="str">
        <f>HYPERLINK("https://www.google.com/maps/search/?api=1&amp;query=7307 196TH STREET, FRESH MEADOWS, NEW YORK 11366", "OPEN MAP")</f>
        <v>OPEN MAP</v>
      </c>
      <c r="O207" s="9" t="s">
        <v>1968</v>
      </c>
      <c r="P207" s="9" t="s">
        <v>1831</v>
      </c>
      <c r="Q207" s="9" t="s">
        <v>765</v>
      </c>
      <c r="R207" s="9">
        <v>11366</v>
      </c>
      <c r="S207" s="13" t="s">
        <v>1969</v>
      </c>
      <c r="T207" s="14"/>
      <c r="U207" s="15"/>
      <c r="V207" s="15">
        <v>39629</v>
      </c>
      <c r="W207" s="14">
        <v>417000</v>
      </c>
      <c r="X207" s="15"/>
      <c r="Y207" s="14"/>
      <c r="Z207" s="9" t="s">
        <v>1970</v>
      </c>
      <c r="AA207" s="9" t="s">
        <v>60</v>
      </c>
      <c r="AB207" s="9" t="s">
        <v>768</v>
      </c>
      <c r="AC207" s="9" t="s">
        <v>769</v>
      </c>
      <c r="AD207" s="9"/>
      <c r="AE207" s="9"/>
    </row>
    <row r="208" spans="1:31" x14ac:dyDescent="0.2">
      <c r="A208" s="1" t="s">
        <v>31</v>
      </c>
      <c r="B208" s="1"/>
      <c r="C208" s="3">
        <v>45926</v>
      </c>
      <c r="D208" s="1" t="s">
        <v>32</v>
      </c>
      <c r="E208" s="1"/>
      <c r="F208" s="4" t="s">
        <v>1971</v>
      </c>
      <c r="G208" s="1">
        <v>2018</v>
      </c>
      <c r="H208" s="1" t="s">
        <v>1972</v>
      </c>
      <c r="I208" s="1" t="s">
        <v>1089</v>
      </c>
      <c r="J208" s="1" t="s">
        <v>1973</v>
      </c>
      <c r="K208" s="1" t="s">
        <v>1973</v>
      </c>
      <c r="L208" s="1"/>
      <c r="M208" s="1" t="s">
        <v>1974</v>
      </c>
      <c r="N208" s="5" t="str">
        <f>HYPERLINK("https://www.google.com/maps/search/?api=1&amp;query=11129 196th Street, Saint Albans, NY 11412", "OPEN MAP")</f>
        <v>OPEN MAP</v>
      </c>
      <c r="O208" s="1" t="s">
        <v>1975</v>
      </c>
      <c r="P208" s="1" t="s">
        <v>357</v>
      </c>
      <c r="Q208" s="1" t="s">
        <v>43</v>
      </c>
      <c r="R208" s="1">
        <v>11412</v>
      </c>
      <c r="S208" s="6" t="s">
        <v>1976</v>
      </c>
      <c r="T208" s="7">
        <v>602091.6</v>
      </c>
      <c r="U208" s="8">
        <v>45135</v>
      </c>
      <c r="V208" s="8"/>
      <c r="W208" s="7"/>
      <c r="X208" s="8"/>
      <c r="Y208" s="7"/>
      <c r="Z208" s="1"/>
      <c r="AA208" s="1" t="s">
        <v>1977</v>
      </c>
      <c r="AB208" s="1" t="s">
        <v>1978</v>
      </c>
      <c r="AC208" s="1"/>
      <c r="AD208" s="1" t="s">
        <v>1979</v>
      </c>
      <c r="AE208" s="1"/>
    </row>
    <row r="209" spans="1:31" x14ac:dyDescent="0.2">
      <c r="A209" s="9" t="s">
        <v>31</v>
      </c>
      <c r="B209" s="9"/>
      <c r="C209" s="10">
        <v>45926</v>
      </c>
      <c r="D209" s="9" t="s">
        <v>49</v>
      </c>
      <c r="E209" s="9" t="s">
        <v>33</v>
      </c>
      <c r="F209" s="11" t="s">
        <v>1980</v>
      </c>
      <c r="G209" s="9">
        <v>2021</v>
      </c>
      <c r="H209" s="9" t="s">
        <v>1981</v>
      </c>
      <c r="I209" s="9" t="s">
        <v>1982</v>
      </c>
      <c r="J209" s="9" t="s">
        <v>1983</v>
      </c>
      <c r="K209" s="9" t="s">
        <v>1983</v>
      </c>
      <c r="L209" s="9"/>
      <c r="M209" s="9" t="s">
        <v>1984</v>
      </c>
      <c r="N209" s="12" t="str">
        <f>HYPERLINK("https://www.google.com/maps/search/?api=1&amp;query=152-01 134th Avenue, Jamaica, NY 11434", "OPEN MAP")</f>
        <v>OPEN MAP</v>
      </c>
      <c r="O209" s="9" t="s">
        <v>1985</v>
      </c>
      <c r="P209" s="9" t="s">
        <v>42</v>
      </c>
      <c r="Q209" s="9" t="s">
        <v>43</v>
      </c>
      <c r="R209" s="9">
        <v>11434</v>
      </c>
      <c r="S209" s="13" t="s">
        <v>1986</v>
      </c>
      <c r="T209" s="14">
        <v>839883.35</v>
      </c>
      <c r="U209" s="15">
        <v>43676</v>
      </c>
      <c r="V209" s="15"/>
      <c r="W209" s="14"/>
      <c r="X209" s="15"/>
      <c r="Y209" s="14"/>
      <c r="Z209" s="9"/>
      <c r="AA209" s="9" t="s">
        <v>239</v>
      </c>
      <c r="AB209" s="9" t="s">
        <v>240</v>
      </c>
      <c r="AC209" s="9"/>
      <c r="AD209" s="9" t="s">
        <v>1987</v>
      </c>
      <c r="AE209" s="9"/>
    </row>
    <row r="210" spans="1:31" x14ac:dyDescent="0.2">
      <c r="A210" s="1" t="s">
        <v>115</v>
      </c>
      <c r="B210" s="1"/>
      <c r="C210" s="3">
        <v>45926</v>
      </c>
      <c r="D210" s="1" t="s">
        <v>32</v>
      </c>
      <c r="E210" s="1"/>
      <c r="F210" s="4" t="s">
        <v>1988</v>
      </c>
      <c r="G210" s="1">
        <v>2020</v>
      </c>
      <c r="H210" s="1" t="s">
        <v>1989</v>
      </c>
      <c r="I210" s="1" t="s">
        <v>203</v>
      </c>
      <c r="J210" s="1" t="s">
        <v>1990</v>
      </c>
      <c r="K210" s="1" t="s">
        <v>1991</v>
      </c>
      <c r="L210" s="1" t="s">
        <v>1992</v>
      </c>
      <c r="M210" s="1" t="s">
        <v>1993</v>
      </c>
      <c r="N210" s="5" t="str">
        <f>HYPERLINK("https://www.google.com/maps/search/?api=1&amp;query=116-40 203rd Street, Saint Albans, NY 11412", "OPEN MAP")</f>
        <v>OPEN MAP</v>
      </c>
      <c r="O210" s="1" t="s">
        <v>1994</v>
      </c>
      <c r="P210" s="1" t="s">
        <v>357</v>
      </c>
      <c r="Q210" s="1" t="s">
        <v>43</v>
      </c>
      <c r="R210" s="1">
        <v>11412</v>
      </c>
      <c r="S210" s="6" t="s">
        <v>1995</v>
      </c>
      <c r="T210" s="7"/>
      <c r="U210" s="8"/>
      <c r="V210" s="8">
        <v>38749</v>
      </c>
      <c r="W210" s="7">
        <v>250000</v>
      </c>
      <c r="X210" s="8"/>
      <c r="Y210" s="7"/>
      <c r="Z210" s="1" t="s">
        <v>1996</v>
      </c>
      <c r="AA210" s="1" t="s">
        <v>1997</v>
      </c>
      <c r="AB210" s="1" t="s">
        <v>1998</v>
      </c>
      <c r="AC210" s="1" t="s">
        <v>1999</v>
      </c>
      <c r="AD210" s="1"/>
      <c r="AE210" s="1"/>
    </row>
    <row r="211" spans="1:31" x14ac:dyDescent="0.2">
      <c r="A211" s="9" t="s">
        <v>31</v>
      </c>
      <c r="B211" s="9"/>
      <c r="C211" s="10">
        <v>45926</v>
      </c>
      <c r="D211" s="9" t="s">
        <v>49</v>
      </c>
      <c r="E211" s="9"/>
      <c r="F211" s="11" t="s">
        <v>2000</v>
      </c>
      <c r="G211" s="9">
        <v>2016</v>
      </c>
      <c r="H211" s="9" t="s">
        <v>2001</v>
      </c>
      <c r="I211" s="9" t="s">
        <v>2002</v>
      </c>
      <c r="J211" s="9" t="s">
        <v>2003</v>
      </c>
      <c r="K211" s="9" t="s">
        <v>2004</v>
      </c>
      <c r="L211" s="9" t="s">
        <v>2005</v>
      </c>
      <c r="M211" s="9" t="s">
        <v>2006</v>
      </c>
      <c r="N211" s="12" t="str">
        <f>HYPERLINK("https://www.google.com/maps/search/?api=1&amp;query=241-41 148th Drive, Rosedale, NY 11422", "OPEN MAP")</f>
        <v>OPEN MAP</v>
      </c>
      <c r="O211" s="9" t="s">
        <v>2007</v>
      </c>
      <c r="P211" s="9" t="s">
        <v>851</v>
      </c>
      <c r="Q211" s="9" t="s">
        <v>43</v>
      </c>
      <c r="R211" s="9">
        <v>11422</v>
      </c>
      <c r="S211" s="13" t="s">
        <v>2008</v>
      </c>
      <c r="T211" s="14">
        <v>346584.1</v>
      </c>
      <c r="U211" s="15">
        <v>43445</v>
      </c>
      <c r="V211" s="15"/>
      <c r="W211" s="14"/>
      <c r="X211" s="15"/>
      <c r="Y211" s="14"/>
      <c r="Z211" s="9"/>
      <c r="AA211" s="9" t="s">
        <v>91</v>
      </c>
      <c r="AB211" s="9" t="s">
        <v>92</v>
      </c>
      <c r="AC211" s="9"/>
      <c r="AD211" s="9" t="s">
        <v>2009</v>
      </c>
      <c r="AE211" s="9"/>
    </row>
    <row r="212" spans="1:31" x14ac:dyDescent="0.2">
      <c r="A212" s="1" t="s">
        <v>31</v>
      </c>
      <c r="B212" s="1"/>
      <c r="C212" s="3">
        <v>45926</v>
      </c>
      <c r="D212" s="1" t="s">
        <v>49</v>
      </c>
      <c r="E212" s="1"/>
      <c r="F212" s="4" t="s">
        <v>2010</v>
      </c>
      <c r="G212" s="1">
        <v>2024</v>
      </c>
      <c r="H212" s="1" t="s">
        <v>2011</v>
      </c>
      <c r="I212" s="1" t="s">
        <v>2012</v>
      </c>
      <c r="J212" s="1" t="s">
        <v>2013</v>
      </c>
      <c r="K212" s="1" t="s">
        <v>2013</v>
      </c>
      <c r="L212" s="1"/>
      <c r="M212" s="1" t="s">
        <v>2014</v>
      </c>
      <c r="N212" s="5" t="str">
        <f>HYPERLINK("https://www.google.com/maps/search/?api=1&amp;query=25-65 125th Street, Flushing, New York 11354", "OPEN MAP")</f>
        <v>OPEN MAP</v>
      </c>
      <c r="O212" s="1" t="s">
        <v>2015</v>
      </c>
      <c r="P212" s="1" t="s">
        <v>69</v>
      </c>
      <c r="Q212" s="1" t="s">
        <v>251</v>
      </c>
      <c r="R212" s="1">
        <v>11354</v>
      </c>
      <c r="S212" s="6" t="s">
        <v>2016</v>
      </c>
      <c r="T212" s="7"/>
      <c r="U212" s="8"/>
      <c r="V212" s="8">
        <v>38905</v>
      </c>
      <c r="W212" s="7"/>
      <c r="X212" s="8"/>
      <c r="Y212" s="7"/>
      <c r="Z212" s="1" t="s">
        <v>2017</v>
      </c>
      <c r="AA212" s="1" t="s">
        <v>2018</v>
      </c>
      <c r="AB212" s="1" t="s">
        <v>2019</v>
      </c>
      <c r="AC212" s="1" t="s">
        <v>2020</v>
      </c>
      <c r="AD212" s="1"/>
      <c r="AE212" s="1"/>
    </row>
    <row r="213" spans="1:31" x14ac:dyDescent="0.2">
      <c r="A213" s="9" t="s">
        <v>31</v>
      </c>
      <c r="B213" s="9"/>
      <c r="C213" s="10">
        <v>45926</v>
      </c>
      <c r="D213" s="9" t="s">
        <v>49</v>
      </c>
      <c r="E213" s="9"/>
      <c r="F213" s="11" t="s">
        <v>2021</v>
      </c>
      <c r="G213" s="9">
        <v>2024</v>
      </c>
      <c r="H213" s="9" t="s">
        <v>2022</v>
      </c>
      <c r="I213" s="9" t="s">
        <v>2023</v>
      </c>
      <c r="J213" s="9" t="s">
        <v>2024</v>
      </c>
      <c r="K213" s="9" t="s">
        <v>2025</v>
      </c>
      <c r="L213" s="9" t="s">
        <v>2026</v>
      </c>
      <c r="M213" s="9" t="s">
        <v>2027</v>
      </c>
      <c r="N213" s="12" t="str">
        <f>HYPERLINK("https://www.google.com/maps/search/?api=1&amp;query=135-20 Denis Street, Springfield Gardens, NY 11434", "OPEN MAP")</f>
        <v>OPEN MAP</v>
      </c>
      <c r="O213" s="9" t="s">
        <v>2028</v>
      </c>
      <c r="P213" s="9" t="s">
        <v>89</v>
      </c>
      <c r="Q213" s="9" t="s">
        <v>43</v>
      </c>
      <c r="R213" s="9">
        <v>11434</v>
      </c>
      <c r="S213" s="13" t="s">
        <v>2029</v>
      </c>
      <c r="T213" s="14"/>
      <c r="U213" s="15"/>
      <c r="V213" s="15">
        <v>44865</v>
      </c>
      <c r="W213" s="14">
        <v>465000</v>
      </c>
      <c r="X213" s="15"/>
      <c r="Y213" s="14"/>
      <c r="Z213" s="9" t="s">
        <v>2030</v>
      </c>
      <c r="AA213" s="9" t="s">
        <v>2031</v>
      </c>
      <c r="AB213" s="9" t="s">
        <v>2032</v>
      </c>
      <c r="AC213" s="9" t="s">
        <v>2033</v>
      </c>
      <c r="AD213" s="9"/>
      <c r="AE213" s="9"/>
    </row>
    <row r="214" spans="1:31" x14ac:dyDescent="0.2">
      <c r="A214" s="1" t="s">
        <v>31</v>
      </c>
      <c r="B214" s="1"/>
      <c r="C214" s="3">
        <v>45926</v>
      </c>
      <c r="D214" s="1" t="s">
        <v>49</v>
      </c>
      <c r="E214" s="1"/>
      <c r="F214" s="4" t="s">
        <v>2034</v>
      </c>
      <c r="G214" s="1">
        <v>2018</v>
      </c>
      <c r="H214" s="1" t="s">
        <v>2035</v>
      </c>
      <c r="I214" s="1" t="s">
        <v>203</v>
      </c>
      <c r="J214" s="1" t="s">
        <v>2036</v>
      </c>
      <c r="K214" s="1" t="s">
        <v>2036</v>
      </c>
      <c r="L214" s="1"/>
      <c r="M214" s="1" t="s">
        <v>2037</v>
      </c>
      <c r="N214" s="5" t="str">
        <f>HYPERLINK("https://www.google.com/maps/search/?api=1&amp;query=25316 139TH AVENUE, ROSEDALE, NY 11422", "OPEN MAP")</f>
        <v>OPEN MAP</v>
      </c>
      <c r="O214" s="1" t="s">
        <v>2038</v>
      </c>
      <c r="P214" s="1" t="s">
        <v>1688</v>
      </c>
      <c r="Q214" s="1" t="s">
        <v>43</v>
      </c>
      <c r="R214" s="1">
        <v>11422</v>
      </c>
      <c r="S214" s="6" t="s">
        <v>2039</v>
      </c>
      <c r="T214" s="7"/>
      <c r="U214" s="8">
        <v>44686</v>
      </c>
      <c r="V214" s="8"/>
      <c r="W214" s="7"/>
      <c r="X214" s="8"/>
      <c r="Y214" s="7"/>
      <c r="Z214" s="1"/>
      <c r="AA214" s="1" t="s">
        <v>60</v>
      </c>
      <c r="AB214" s="1" t="s">
        <v>61</v>
      </c>
      <c r="AC214" s="1"/>
      <c r="AD214" s="1" t="s">
        <v>2040</v>
      </c>
      <c r="AE214" s="1"/>
    </row>
    <row r="215" spans="1:31" x14ac:dyDescent="0.2">
      <c r="A215" s="9" t="s">
        <v>31</v>
      </c>
      <c r="B215" s="9"/>
      <c r="C215" s="10">
        <v>45926</v>
      </c>
      <c r="D215" s="9" t="s">
        <v>49</v>
      </c>
      <c r="E215" s="9"/>
      <c r="F215" s="11" t="s">
        <v>2041</v>
      </c>
      <c r="G215" s="9">
        <v>2014</v>
      </c>
      <c r="H215" s="9" t="s">
        <v>2042</v>
      </c>
      <c r="I215" s="9" t="s">
        <v>1061</v>
      </c>
      <c r="J215" s="9" t="s">
        <v>2043</v>
      </c>
      <c r="K215" s="9" t="s">
        <v>2044</v>
      </c>
      <c r="L215" s="9" t="s">
        <v>2045</v>
      </c>
      <c r="M215" s="9" t="s">
        <v>2046</v>
      </c>
      <c r="N215" s="12" t="str">
        <f>HYPERLINK("https://www.google.com/maps/search/?api=1&amp;query=97-01 50TH AVENUE, CORONA, NY 11368", "OPEN MAP")</f>
        <v>OPEN MAP</v>
      </c>
      <c r="O215" s="9" t="s">
        <v>2047</v>
      </c>
      <c r="P215" s="9" t="s">
        <v>1042</v>
      </c>
      <c r="Q215" s="9" t="s">
        <v>43</v>
      </c>
      <c r="R215" s="9">
        <v>11368</v>
      </c>
      <c r="S215" s="13" t="s">
        <v>2048</v>
      </c>
      <c r="T215" s="14">
        <v>666147.67000000004</v>
      </c>
      <c r="U215" s="15" t="s">
        <v>2049</v>
      </c>
      <c r="V215" s="15"/>
      <c r="W215" s="14"/>
      <c r="X215" s="15"/>
      <c r="Y215" s="14"/>
      <c r="Z215" s="9" t="s">
        <v>779</v>
      </c>
      <c r="AA215" s="9" t="s">
        <v>780</v>
      </c>
      <c r="AB215" s="9" t="s">
        <v>1069</v>
      </c>
      <c r="AC215" s="9"/>
      <c r="AD215" s="9" t="s">
        <v>2050</v>
      </c>
      <c r="AE215" s="9"/>
    </row>
    <row r="216" spans="1:31" x14ac:dyDescent="0.2">
      <c r="A216" s="1" t="s">
        <v>115</v>
      </c>
      <c r="B216" s="1"/>
      <c r="C216" s="3">
        <v>45926</v>
      </c>
      <c r="D216" s="1" t="s">
        <v>32</v>
      </c>
      <c r="E216" s="1"/>
      <c r="F216" s="4" t="s">
        <v>2051</v>
      </c>
      <c r="G216" s="1">
        <v>2013</v>
      </c>
      <c r="H216" s="1" t="s">
        <v>2052</v>
      </c>
      <c r="I216" s="1" t="s">
        <v>2053</v>
      </c>
      <c r="J216" s="1" t="s">
        <v>2054</v>
      </c>
      <c r="K216" s="1" t="s">
        <v>2054</v>
      </c>
      <c r="L216" s="1"/>
      <c r="M216" s="1" t="s">
        <v>2055</v>
      </c>
      <c r="N216" s="5" t="str">
        <f>HYPERLINK("https://www.google.com/maps/search/?api=1&amp;query=114-35 INWOOD ST, JAMAICA, NY 11436", "OPEN MAP")</f>
        <v>OPEN MAP</v>
      </c>
      <c r="O216" s="1" t="s">
        <v>2056</v>
      </c>
      <c r="P216" s="1" t="s">
        <v>274</v>
      </c>
      <c r="Q216" s="1" t="s">
        <v>43</v>
      </c>
      <c r="R216" s="1">
        <v>11436</v>
      </c>
      <c r="S216" s="6" t="s">
        <v>2057</v>
      </c>
      <c r="T216" s="7"/>
      <c r="U216" s="8"/>
      <c r="V216" s="8">
        <v>38341</v>
      </c>
      <c r="W216" s="7">
        <v>228000</v>
      </c>
      <c r="X216" s="8"/>
      <c r="Y216" s="7"/>
      <c r="Z216" s="1" t="s">
        <v>2058</v>
      </c>
      <c r="AA216" s="1" t="s">
        <v>2059</v>
      </c>
      <c r="AB216" s="1" t="s">
        <v>2060</v>
      </c>
      <c r="AC216" s="1" t="s">
        <v>2061</v>
      </c>
      <c r="AD216" s="1"/>
      <c r="AE216" s="1"/>
    </row>
    <row r="217" spans="1:31" x14ac:dyDescent="0.2">
      <c r="A217" s="9" t="s">
        <v>31</v>
      </c>
      <c r="B217" s="9"/>
      <c r="C217" s="10">
        <v>45926</v>
      </c>
      <c r="D217" s="9" t="s">
        <v>49</v>
      </c>
      <c r="E217" s="9"/>
      <c r="F217" s="11" t="s">
        <v>2062</v>
      </c>
      <c r="G217" s="9">
        <v>2012</v>
      </c>
      <c r="H217" s="9" t="s">
        <v>2063</v>
      </c>
      <c r="I217" s="9" t="s">
        <v>2064</v>
      </c>
      <c r="J217" s="9" t="s">
        <v>2065</v>
      </c>
      <c r="K217" s="9" t="s">
        <v>2066</v>
      </c>
      <c r="L217" s="9"/>
      <c r="M217" s="9" t="s">
        <v>2067</v>
      </c>
      <c r="N217" s="12" t="str">
        <f>HYPERLINK("https://www.google.com/maps/search/?api=1&amp;query=124 -23 135Th Place a/k/a 124-23 135th Place, Jamaica, NY 11420", "OPEN MAP")</f>
        <v>OPEN MAP</v>
      </c>
      <c r="O217" s="9" t="s">
        <v>2068</v>
      </c>
      <c r="P217" s="9" t="s">
        <v>42</v>
      </c>
      <c r="Q217" s="9" t="s">
        <v>43</v>
      </c>
      <c r="R217" s="9">
        <v>11420</v>
      </c>
      <c r="S217" s="13" t="s">
        <v>2069</v>
      </c>
      <c r="T217" s="14">
        <v>1023290.01</v>
      </c>
      <c r="U217" s="15">
        <v>45558</v>
      </c>
      <c r="V217" s="15"/>
      <c r="W217" s="14"/>
      <c r="X217" s="15"/>
      <c r="Y217" s="14"/>
      <c r="Z217" s="9"/>
      <c r="AA217" s="9" t="s">
        <v>45</v>
      </c>
      <c r="AB217" s="9" t="s">
        <v>46</v>
      </c>
      <c r="AC217" s="9" t="s">
        <v>47</v>
      </c>
      <c r="AD217" s="9" t="s">
        <v>2070</v>
      </c>
      <c r="AE217" s="9"/>
    </row>
    <row r="218" spans="1:31" x14ac:dyDescent="0.2">
      <c r="A218" s="1" t="s">
        <v>31</v>
      </c>
      <c r="B218" s="1"/>
      <c r="C218" s="3">
        <v>45926</v>
      </c>
      <c r="D218" s="1" t="s">
        <v>49</v>
      </c>
      <c r="E218" s="1"/>
      <c r="F218" s="4" t="s">
        <v>2071</v>
      </c>
      <c r="G218" s="1">
        <v>2023</v>
      </c>
      <c r="H218" s="1" t="s">
        <v>2072</v>
      </c>
      <c r="I218" s="1" t="s">
        <v>2073</v>
      </c>
      <c r="J218" s="1" t="s">
        <v>2074</v>
      </c>
      <c r="K218" s="1" t="s">
        <v>2075</v>
      </c>
      <c r="L218" s="1"/>
      <c r="M218" s="1" t="s">
        <v>2076</v>
      </c>
      <c r="N218" s="5" t="str">
        <f>HYPERLINK("https://www.google.com/maps/search/?api=1&amp;query=144-16 Farmers Boulevard, Jamaica, NY 11434", "OPEN MAP")</f>
        <v>OPEN MAP</v>
      </c>
      <c r="O218" s="1" t="s">
        <v>2077</v>
      </c>
      <c r="P218" s="1" t="s">
        <v>42</v>
      </c>
      <c r="Q218" s="1" t="s">
        <v>43</v>
      </c>
      <c r="R218" s="1">
        <v>11434</v>
      </c>
      <c r="S218" s="6" t="s">
        <v>2078</v>
      </c>
      <c r="T218" s="7"/>
      <c r="U218" s="8"/>
      <c r="V218" s="8">
        <v>38454</v>
      </c>
      <c r="W218" s="7">
        <v>235000</v>
      </c>
      <c r="X218" s="8"/>
      <c r="Y218" s="7"/>
      <c r="Z218" s="1" t="s">
        <v>2079</v>
      </c>
      <c r="AA218" s="1" t="s">
        <v>91</v>
      </c>
      <c r="AB218" s="1" t="s">
        <v>518</v>
      </c>
      <c r="AC218" s="1" t="s">
        <v>519</v>
      </c>
      <c r="AD218" s="1"/>
      <c r="AE218" s="1"/>
    </row>
    <row r="219" spans="1:31" x14ac:dyDescent="0.2">
      <c r="A219" s="9" t="s">
        <v>31</v>
      </c>
      <c r="B219" s="9"/>
      <c r="C219" s="10">
        <v>45926</v>
      </c>
      <c r="D219" s="9" t="s">
        <v>49</v>
      </c>
      <c r="E219" s="9"/>
      <c r="F219" s="11" t="s">
        <v>2080</v>
      </c>
      <c r="G219" s="9">
        <v>2006</v>
      </c>
      <c r="H219" s="9" t="s">
        <v>2081</v>
      </c>
      <c r="I219" s="9" t="s">
        <v>2082</v>
      </c>
      <c r="J219" s="9" t="s">
        <v>2083</v>
      </c>
      <c r="K219" s="9" t="s">
        <v>2084</v>
      </c>
      <c r="L219" s="9" t="s">
        <v>2085</v>
      </c>
      <c r="M219" s="9" t="s">
        <v>2086</v>
      </c>
      <c r="N219" s="12" t="str">
        <f>HYPERLINK("https://www.google.com/maps/search/?api=1&amp;query=172-04 109th Ave, Jamaica, NY 11433", "OPEN MAP")</f>
        <v>OPEN MAP</v>
      </c>
      <c r="O219" s="9" t="s">
        <v>2087</v>
      </c>
      <c r="P219" s="9" t="s">
        <v>42</v>
      </c>
      <c r="Q219" s="9" t="s">
        <v>43</v>
      </c>
      <c r="R219" s="9">
        <v>11433</v>
      </c>
      <c r="S219" s="13" t="s">
        <v>2088</v>
      </c>
      <c r="T219" s="14">
        <v>303807.46999999997</v>
      </c>
      <c r="U219" s="15">
        <v>39014</v>
      </c>
      <c r="V219" s="15"/>
      <c r="W219" s="14"/>
      <c r="X219" s="15"/>
      <c r="Y219" s="14"/>
      <c r="Z219" s="9"/>
      <c r="AA219" s="9" t="s">
        <v>708</v>
      </c>
      <c r="AB219" s="9" t="s">
        <v>709</v>
      </c>
      <c r="AC219" s="9"/>
      <c r="AD219" s="9" t="s">
        <v>1932</v>
      </c>
      <c r="AE219" s="9"/>
    </row>
    <row r="220" spans="1:31" x14ac:dyDescent="0.2">
      <c r="A220" s="1" t="s">
        <v>115</v>
      </c>
      <c r="B220" s="1"/>
      <c r="C220" s="3">
        <v>45926</v>
      </c>
      <c r="D220" s="1" t="s">
        <v>32</v>
      </c>
      <c r="E220" s="1"/>
      <c r="F220" s="4" t="s">
        <v>2089</v>
      </c>
      <c r="G220" s="1">
        <v>2019</v>
      </c>
      <c r="H220" s="1" t="s">
        <v>2090</v>
      </c>
      <c r="I220" s="1" t="s">
        <v>132</v>
      </c>
      <c r="J220" s="1" t="s">
        <v>2091</v>
      </c>
      <c r="K220" s="1" t="s">
        <v>2092</v>
      </c>
      <c r="L220" s="1"/>
      <c r="M220" s="1" t="s">
        <v>2093</v>
      </c>
      <c r="N220" s="5" t="str">
        <f>HYPERLINK("https://www.google.com/maps/search/?api=1&amp;query=150-08 Tahoe Street, Ozone Park, NY 11417", "OPEN MAP")</f>
        <v>OPEN MAP</v>
      </c>
      <c r="O220" s="1" t="s">
        <v>2094</v>
      </c>
      <c r="P220" s="1" t="s">
        <v>263</v>
      </c>
      <c r="Q220" s="1" t="s">
        <v>43</v>
      </c>
      <c r="R220" s="1">
        <v>11417</v>
      </c>
      <c r="S220" s="6" t="s">
        <v>2095</v>
      </c>
      <c r="T220" s="7"/>
      <c r="U220" s="8"/>
      <c r="V220" s="8">
        <v>39400</v>
      </c>
      <c r="W220" s="7">
        <v>533850</v>
      </c>
      <c r="X220" s="8"/>
      <c r="Y220" s="7"/>
      <c r="Z220" s="1" t="s">
        <v>112</v>
      </c>
      <c r="AA220" s="1" t="s">
        <v>113</v>
      </c>
      <c r="AB220" s="1" t="s">
        <v>46</v>
      </c>
      <c r="AC220" s="1" t="s">
        <v>1808</v>
      </c>
      <c r="AD220" s="1"/>
      <c r="AE220" s="1"/>
    </row>
    <row r="221" spans="1:31" x14ac:dyDescent="0.2">
      <c r="A221" s="9" t="s">
        <v>31</v>
      </c>
      <c r="B221" s="9"/>
      <c r="C221" s="10">
        <v>45926</v>
      </c>
      <c r="D221" s="9" t="s">
        <v>49</v>
      </c>
      <c r="E221" s="9"/>
      <c r="F221" s="11" t="s">
        <v>2096</v>
      </c>
      <c r="G221" s="9">
        <v>2019</v>
      </c>
      <c r="H221" s="9" t="s">
        <v>2097</v>
      </c>
      <c r="I221" s="9" t="s">
        <v>233</v>
      </c>
      <c r="J221" s="9" t="s">
        <v>2098</v>
      </c>
      <c r="K221" s="9" t="s">
        <v>2099</v>
      </c>
      <c r="L221" s="9" t="s">
        <v>2100</v>
      </c>
      <c r="M221" s="9" t="s">
        <v>2101</v>
      </c>
      <c r="N221" s="12" t="str">
        <f>HYPERLINK("https://www.google.com/maps/search/?api=1&amp;query=240-16 143RD AVENUE, ROSEDALE, NY 11422", "OPEN MAP")</f>
        <v>OPEN MAP</v>
      </c>
      <c r="O221" s="9" t="s">
        <v>2102</v>
      </c>
      <c r="P221" s="9" t="s">
        <v>1688</v>
      </c>
      <c r="Q221" s="9" t="s">
        <v>43</v>
      </c>
      <c r="R221" s="9">
        <v>11422</v>
      </c>
      <c r="S221" s="13" t="s">
        <v>2103</v>
      </c>
      <c r="T221" s="14"/>
      <c r="U221" s="15">
        <v>45553</v>
      </c>
      <c r="V221" s="15"/>
      <c r="W221" s="14"/>
      <c r="X221" s="15"/>
      <c r="Y221" s="14"/>
      <c r="Z221" s="9"/>
      <c r="AA221" s="9" t="s">
        <v>60</v>
      </c>
      <c r="AB221" s="9" t="s">
        <v>61</v>
      </c>
      <c r="AC221" s="9"/>
      <c r="AD221" s="9" t="s">
        <v>2104</v>
      </c>
      <c r="AE221" s="9"/>
    </row>
    <row r="222" spans="1:31" x14ac:dyDescent="0.2">
      <c r="A222" s="1" t="s">
        <v>31</v>
      </c>
      <c r="B222" s="1"/>
      <c r="C222" s="3">
        <v>45926</v>
      </c>
      <c r="D222" s="1" t="s">
        <v>49</v>
      </c>
      <c r="E222" s="1"/>
      <c r="F222" s="4" t="s">
        <v>2105</v>
      </c>
      <c r="G222" s="1">
        <v>2023</v>
      </c>
      <c r="H222" s="1" t="s">
        <v>2106</v>
      </c>
      <c r="I222" s="1" t="s">
        <v>2012</v>
      </c>
      <c r="J222" s="1" t="s">
        <v>2107</v>
      </c>
      <c r="K222" s="1" t="s">
        <v>2108</v>
      </c>
      <c r="L222" s="1" t="s">
        <v>2109</v>
      </c>
      <c r="M222" s="1" t="s">
        <v>2110</v>
      </c>
      <c r="N222" s="5" t="str">
        <f>HYPERLINK("https://www.google.com/maps/search/?api=1&amp;query=112-32 209th Street, Queens Village, NY 11429", "OPEN MAP")</f>
        <v>OPEN MAP</v>
      </c>
      <c r="O222" s="1" t="s">
        <v>2111</v>
      </c>
      <c r="P222" s="1" t="s">
        <v>178</v>
      </c>
      <c r="Q222" s="1" t="s">
        <v>43</v>
      </c>
      <c r="R222" s="1">
        <v>11429</v>
      </c>
      <c r="S222" s="6" t="s">
        <v>2112</v>
      </c>
      <c r="T222" s="7"/>
      <c r="U222" s="8"/>
      <c r="V222" s="8">
        <v>38954</v>
      </c>
      <c r="W222" s="7">
        <v>210000</v>
      </c>
      <c r="X222" s="8">
        <v>39967</v>
      </c>
      <c r="Y222" s="7"/>
      <c r="Z222" s="1" t="s">
        <v>619</v>
      </c>
      <c r="AA222" s="1" t="s">
        <v>91</v>
      </c>
      <c r="AB222" s="1" t="s">
        <v>518</v>
      </c>
      <c r="AC222" s="1" t="s">
        <v>519</v>
      </c>
      <c r="AD222" s="1"/>
      <c r="AE222" s="1"/>
    </row>
    <row r="223" spans="1:31" x14ac:dyDescent="0.2">
      <c r="A223" s="9" t="s">
        <v>31</v>
      </c>
      <c r="B223" s="9"/>
      <c r="C223" s="10">
        <v>45926</v>
      </c>
      <c r="D223" s="9" t="s">
        <v>49</v>
      </c>
      <c r="E223" s="9"/>
      <c r="F223" s="11" t="s">
        <v>2113</v>
      </c>
      <c r="G223" s="9">
        <v>2017</v>
      </c>
      <c r="H223" s="9" t="s">
        <v>2114</v>
      </c>
      <c r="I223" s="9" t="s">
        <v>2115</v>
      </c>
      <c r="J223" s="9" t="s">
        <v>2116</v>
      </c>
      <c r="K223" s="9" t="s">
        <v>2117</v>
      </c>
      <c r="L223" s="9"/>
      <c r="M223" s="9" t="s">
        <v>2118</v>
      </c>
      <c r="N223" s="12" t="str">
        <f>HYPERLINK("https://www.google.com/maps/search/?api=1&amp;query=173-47 105TH AVENUE, JAMAICA, NY 11433", "OPEN MAP")</f>
        <v>OPEN MAP</v>
      </c>
      <c r="O223" s="9" t="s">
        <v>2119</v>
      </c>
      <c r="P223" s="9" t="s">
        <v>274</v>
      </c>
      <c r="Q223" s="9" t="s">
        <v>43</v>
      </c>
      <c r="R223" s="9">
        <v>11433</v>
      </c>
      <c r="S223" s="13" t="s">
        <v>2120</v>
      </c>
      <c r="T223" s="14"/>
      <c r="U223" s="15">
        <v>43509</v>
      </c>
      <c r="V223" s="15"/>
      <c r="W223" s="14"/>
      <c r="X223" s="15"/>
      <c r="Y223" s="14"/>
      <c r="Z223" s="9"/>
      <c r="AA223" s="9" t="s">
        <v>60</v>
      </c>
      <c r="AB223" s="9" t="s">
        <v>61</v>
      </c>
      <c r="AC223" s="9"/>
      <c r="AD223" s="9" t="s">
        <v>561</v>
      </c>
      <c r="AE223" s="9"/>
    </row>
    <row r="224" spans="1:31" x14ac:dyDescent="0.2">
      <c r="A224" s="1" t="s">
        <v>31</v>
      </c>
      <c r="B224" s="1"/>
      <c r="C224" s="3">
        <v>45926</v>
      </c>
      <c r="D224" s="1" t="s">
        <v>49</v>
      </c>
      <c r="E224" s="1"/>
      <c r="F224" s="4" t="s">
        <v>2121</v>
      </c>
      <c r="G224" s="1">
        <v>2021</v>
      </c>
      <c r="H224" s="1" t="s">
        <v>2122</v>
      </c>
      <c r="I224" s="1" t="s">
        <v>1290</v>
      </c>
      <c r="J224" s="1" t="s">
        <v>2123</v>
      </c>
      <c r="K224" s="1" t="s">
        <v>2123</v>
      </c>
      <c r="L224" s="1"/>
      <c r="M224" s="1" t="s">
        <v>2124</v>
      </c>
      <c r="N224" s="5" t="str">
        <f>HYPERLINK("https://www.google.com/maps/search/?api=1&amp;query=327 125TH ST, COLLEGE POINT, NY 11356", "OPEN MAP")</f>
        <v>OPEN MAP</v>
      </c>
      <c r="O224" s="1" t="s">
        <v>2125</v>
      </c>
      <c r="P224" s="1" t="s">
        <v>2126</v>
      </c>
      <c r="Q224" s="1" t="s">
        <v>43</v>
      </c>
      <c r="R224" s="1">
        <v>11356</v>
      </c>
      <c r="S224" s="6" t="s">
        <v>2127</v>
      </c>
      <c r="T224" s="7"/>
      <c r="U224" s="8">
        <v>45219</v>
      </c>
      <c r="V224" s="8"/>
      <c r="W224" s="7"/>
      <c r="X224" s="8"/>
      <c r="Y224" s="7"/>
      <c r="Z224" s="1"/>
      <c r="AA224" s="1" t="s">
        <v>60</v>
      </c>
      <c r="AB224" s="1" t="s">
        <v>61</v>
      </c>
      <c r="AC224" s="1"/>
      <c r="AD224" s="1" t="s">
        <v>2128</v>
      </c>
      <c r="AE224" s="1"/>
    </row>
    <row r="225" spans="1:31" x14ac:dyDescent="0.2">
      <c r="A225" s="9" t="s">
        <v>31</v>
      </c>
      <c r="B225" s="9"/>
      <c r="C225" s="10">
        <v>45926</v>
      </c>
      <c r="D225" s="9" t="s">
        <v>49</v>
      </c>
      <c r="E225" s="9"/>
      <c r="F225" s="11" t="s">
        <v>2129</v>
      </c>
      <c r="G225" s="9">
        <v>2009</v>
      </c>
      <c r="H225" s="9" t="s">
        <v>2130</v>
      </c>
      <c r="I225" s="9" t="s">
        <v>2131</v>
      </c>
      <c r="J225" s="9" t="s">
        <v>2132</v>
      </c>
      <c r="K225" s="9" t="s">
        <v>2132</v>
      </c>
      <c r="L225" s="9"/>
      <c r="M225" s="9" t="s">
        <v>2133</v>
      </c>
      <c r="N225" s="12" t="str">
        <f>HYPERLINK("https://www.google.com/maps/search/?api=1&amp;query=84-38 108th Street, Richmond Hill, NY 11418", "OPEN MAP")</f>
        <v>OPEN MAP</v>
      </c>
      <c r="O225" s="9" t="s">
        <v>2134</v>
      </c>
      <c r="P225" s="9" t="s">
        <v>453</v>
      </c>
      <c r="Q225" s="9" t="s">
        <v>43</v>
      </c>
      <c r="R225" s="9">
        <v>11418</v>
      </c>
      <c r="S225" s="13" t="s">
        <v>2135</v>
      </c>
      <c r="T225" s="14">
        <v>1012336.86</v>
      </c>
      <c r="U225" s="15">
        <v>45714</v>
      </c>
      <c r="V225" s="15"/>
      <c r="W225" s="14"/>
      <c r="X225" s="15"/>
      <c r="Y225" s="14"/>
      <c r="Z225" s="9"/>
      <c r="AA225" s="9" t="s">
        <v>91</v>
      </c>
      <c r="AB225" s="9" t="s">
        <v>92</v>
      </c>
      <c r="AC225" s="9"/>
      <c r="AD225" s="9" t="s">
        <v>2136</v>
      </c>
      <c r="AE225" s="9"/>
    </row>
    <row r="226" spans="1:31" x14ac:dyDescent="0.2">
      <c r="A226" s="1" t="s">
        <v>31</v>
      </c>
      <c r="B226" s="1"/>
      <c r="C226" s="3">
        <v>45926</v>
      </c>
      <c r="D226" s="1" t="s">
        <v>49</v>
      </c>
      <c r="E226" s="1"/>
      <c r="F226" s="4" t="s">
        <v>2137</v>
      </c>
      <c r="G226" s="1">
        <v>2024</v>
      </c>
      <c r="H226" s="1" t="s">
        <v>2138</v>
      </c>
      <c r="I226" s="1" t="s">
        <v>2139</v>
      </c>
      <c r="J226" s="1" t="s">
        <v>2140</v>
      </c>
      <c r="K226" s="1" t="s">
        <v>2141</v>
      </c>
      <c r="L226" s="1" t="s">
        <v>2142</v>
      </c>
      <c r="M226" s="1" t="s">
        <v>2143</v>
      </c>
      <c r="N226" s="5" t="str">
        <f>HYPERLINK("https://www.google.com/maps/search/?api=1&amp;query=57-44 57TH DRIVE, MASPETH, NEW YORK 11378", "OPEN MAP")</f>
        <v>OPEN MAP</v>
      </c>
      <c r="O226" s="1" t="s">
        <v>2144</v>
      </c>
      <c r="P226" s="1" t="s">
        <v>2145</v>
      </c>
      <c r="Q226" s="1" t="s">
        <v>765</v>
      </c>
      <c r="R226" s="1">
        <v>11378</v>
      </c>
      <c r="S226" s="6" t="s">
        <v>2146</v>
      </c>
      <c r="T226" s="7">
        <v>250985</v>
      </c>
      <c r="U226" s="8"/>
      <c r="V226" s="8">
        <v>39024</v>
      </c>
      <c r="W226" s="7">
        <v>300000</v>
      </c>
      <c r="X226" s="8"/>
      <c r="Y226" s="7"/>
      <c r="Z226" s="1" t="s">
        <v>2147</v>
      </c>
      <c r="AA226" s="1" t="s">
        <v>2148</v>
      </c>
      <c r="AB226" s="1" t="s">
        <v>768</v>
      </c>
      <c r="AC226" s="1" t="s">
        <v>769</v>
      </c>
      <c r="AD226" s="1"/>
      <c r="AE226" s="1"/>
    </row>
    <row r="227" spans="1:31" x14ac:dyDescent="0.2">
      <c r="A227" s="9" t="s">
        <v>31</v>
      </c>
      <c r="B227" s="9"/>
      <c r="C227" s="10">
        <v>45926</v>
      </c>
      <c r="D227" s="9" t="s">
        <v>49</v>
      </c>
      <c r="E227" s="9"/>
      <c r="F227" s="11" t="s">
        <v>2149</v>
      </c>
      <c r="G227" s="9">
        <v>2019</v>
      </c>
      <c r="H227" s="9" t="s">
        <v>2150</v>
      </c>
      <c r="I227" s="9" t="s">
        <v>279</v>
      </c>
      <c r="J227" s="9" t="s">
        <v>2151</v>
      </c>
      <c r="K227" s="9" t="s">
        <v>2152</v>
      </c>
      <c r="L227" s="9"/>
      <c r="M227" s="9" t="s">
        <v>2153</v>
      </c>
      <c r="N227" s="12" t="str">
        <f>HYPERLINK("https://www.google.com/maps/search/?api=1&amp;query=434 Beach 44th Street, Far Rockaway, New York", "OPEN MAP")</f>
        <v>OPEN MAP</v>
      </c>
      <c r="O227" s="9" t="s">
        <v>2154</v>
      </c>
      <c r="P227" s="9" t="s">
        <v>138</v>
      </c>
      <c r="Q227" s="9" t="s">
        <v>251</v>
      </c>
      <c r="R227" s="9">
        <v>11691</v>
      </c>
      <c r="S227" s="13" t="s">
        <v>2155</v>
      </c>
      <c r="T227" s="14"/>
      <c r="U227" s="15"/>
      <c r="V227" s="15"/>
      <c r="W227" s="14"/>
      <c r="X227" s="15"/>
      <c r="Y227" s="14"/>
      <c r="Z227" s="9" t="s">
        <v>1427</v>
      </c>
      <c r="AA227" s="9" t="s">
        <v>1428</v>
      </c>
      <c r="AB227" s="9" t="s">
        <v>2156</v>
      </c>
      <c r="AC227" s="9" t="s">
        <v>1672</v>
      </c>
      <c r="AD227" s="9"/>
      <c r="AE227" s="9"/>
    </row>
    <row r="228" spans="1:31" x14ac:dyDescent="0.2">
      <c r="A228" s="1" t="s">
        <v>115</v>
      </c>
      <c r="B228" s="1"/>
      <c r="C228" s="3">
        <v>45926</v>
      </c>
      <c r="D228" s="1" t="s">
        <v>32</v>
      </c>
      <c r="E228" s="1"/>
      <c r="F228" s="4" t="s">
        <v>2157</v>
      </c>
      <c r="G228" s="1">
        <v>2021</v>
      </c>
      <c r="H228" s="1" t="s">
        <v>2158</v>
      </c>
      <c r="I228" s="1" t="s">
        <v>2159</v>
      </c>
      <c r="J228" s="1" t="s">
        <v>2160</v>
      </c>
      <c r="K228" s="1" t="s">
        <v>2160</v>
      </c>
      <c r="L228" s="1"/>
      <c r="M228" s="1" t="s">
        <v>2161</v>
      </c>
      <c r="N228" s="5" t="str">
        <f>HYPERLINK("https://www.google.com/maps/search/?api=1&amp;query=90-08 185th Street, Hollis, NY 11423", "OPEN MAP")</f>
        <v>OPEN MAP</v>
      </c>
      <c r="O228" s="1" t="s">
        <v>2162</v>
      </c>
      <c r="P228" s="1" t="s">
        <v>627</v>
      </c>
      <c r="Q228" s="1" t="s">
        <v>43</v>
      </c>
      <c r="R228" s="1">
        <v>11423</v>
      </c>
      <c r="S228" s="6" t="s">
        <v>2163</v>
      </c>
      <c r="T228" s="7">
        <v>194537.85</v>
      </c>
      <c r="U228" s="8">
        <v>45293</v>
      </c>
      <c r="V228" s="8"/>
      <c r="W228" s="7"/>
      <c r="X228" s="8"/>
      <c r="Y228" s="7"/>
      <c r="Z228" s="1"/>
      <c r="AA228" s="1" t="s">
        <v>2164</v>
      </c>
      <c r="AB228" s="1" t="s">
        <v>1046</v>
      </c>
      <c r="AC228" s="1"/>
      <c r="AD228" s="1" t="s">
        <v>1939</v>
      </c>
      <c r="AE228" s="1"/>
    </row>
    <row r="229" spans="1:31" x14ac:dyDescent="0.2">
      <c r="A229" s="9" t="s">
        <v>31</v>
      </c>
      <c r="B229" s="9"/>
      <c r="C229" s="10">
        <v>45926</v>
      </c>
      <c r="D229" s="9" t="s">
        <v>49</v>
      </c>
      <c r="E229" s="9"/>
      <c r="F229" s="11" t="s">
        <v>2165</v>
      </c>
      <c r="G229" s="9">
        <v>2022</v>
      </c>
      <c r="H229" s="9" t="s">
        <v>2166</v>
      </c>
      <c r="I229" s="9" t="s">
        <v>2167</v>
      </c>
      <c r="J229" s="9" t="s">
        <v>2168</v>
      </c>
      <c r="K229" s="9" t="s">
        <v>2168</v>
      </c>
      <c r="L229" s="9"/>
      <c r="M229" s="9" t="s">
        <v>2169</v>
      </c>
      <c r="N229" s="12" t="str">
        <f>HYPERLINK("https://www.google.com/maps/search/?api=1&amp;query=114-25 200th Street, Jamaica, NY 11412", "OPEN MAP")</f>
        <v>OPEN MAP</v>
      </c>
      <c r="O229" s="9" t="s">
        <v>2170</v>
      </c>
      <c r="P229" s="9" t="s">
        <v>42</v>
      </c>
      <c r="Q229" s="9" t="s">
        <v>43</v>
      </c>
      <c r="R229" s="9">
        <v>11412</v>
      </c>
      <c r="S229" s="13" t="s">
        <v>2171</v>
      </c>
      <c r="T229" s="14">
        <v>593268.67000000004</v>
      </c>
      <c r="U229" s="15">
        <v>45628</v>
      </c>
      <c r="V229" s="15"/>
      <c r="W229" s="14"/>
      <c r="X229" s="15"/>
      <c r="Y229" s="14"/>
      <c r="Z229" s="9"/>
      <c r="AA229" s="9" t="s">
        <v>909</v>
      </c>
      <c r="AB229" s="9" t="s">
        <v>72</v>
      </c>
      <c r="AC229" s="9"/>
      <c r="AD229" s="9" t="s">
        <v>2172</v>
      </c>
      <c r="AE229" s="9"/>
    </row>
    <row r="230" spans="1:31" x14ac:dyDescent="0.2">
      <c r="A230" s="1" t="s">
        <v>31</v>
      </c>
      <c r="B230" s="1"/>
      <c r="C230" s="3">
        <v>45926</v>
      </c>
      <c r="D230" s="1" t="s">
        <v>49</v>
      </c>
      <c r="E230" s="1"/>
      <c r="F230" s="4" t="s">
        <v>2173</v>
      </c>
      <c r="G230" s="1">
        <v>2021</v>
      </c>
      <c r="H230" s="1" t="s">
        <v>2174</v>
      </c>
      <c r="I230" s="1" t="s">
        <v>2175</v>
      </c>
      <c r="J230" s="1" t="s">
        <v>2176</v>
      </c>
      <c r="K230" s="1" t="s">
        <v>2176</v>
      </c>
      <c r="L230" s="1"/>
      <c r="M230" s="1" t="s">
        <v>2177</v>
      </c>
      <c r="N230" s="5" t="str">
        <f>HYPERLINK("https://www.google.com/maps/search/?api=1&amp;query=127-20 Liberty Avenue, Richmond Hill, NY 11419", "OPEN MAP")</f>
        <v>OPEN MAP</v>
      </c>
      <c r="O230" s="1" t="s">
        <v>2178</v>
      </c>
      <c r="P230" s="1" t="s">
        <v>2179</v>
      </c>
      <c r="Q230" s="1" t="s">
        <v>43</v>
      </c>
      <c r="R230" s="1">
        <v>11419</v>
      </c>
      <c r="S230" s="6" t="s">
        <v>2180</v>
      </c>
      <c r="T230" s="7">
        <v>1398418</v>
      </c>
      <c r="U230" s="8">
        <v>45642</v>
      </c>
      <c r="V230" s="8"/>
      <c r="W230" s="7"/>
      <c r="X230" s="8"/>
      <c r="Y230" s="7"/>
      <c r="Z230" s="1"/>
      <c r="AA230" s="1" t="s">
        <v>2181</v>
      </c>
      <c r="AB230" s="1" t="s">
        <v>2182</v>
      </c>
      <c r="AC230" s="1"/>
      <c r="AD230" s="1" t="s">
        <v>2183</v>
      </c>
      <c r="AE230" s="1"/>
    </row>
    <row r="231" spans="1:31" x14ac:dyDescent="0.2">
      <c r="A231" s="9" t="s">
        <v>31</v>
      </c>
      <c r="B231" s="9"/>
      <c r="C231" s="10">
        <v>45926</v>
      </c>
      <c r="D231" s="9" t="s">
        <v>49</v>
      </c>
      <c r="E231" s="9" t="s">
        <v>33</v>
      </c>
      <c r="F231" s="11" t="s">
        <v>2184</v>
      </c>
      <c r="G231" s="9">
        <v>2023</v>
      </c>
      <c r="H231" s="9" t="s">
        <v>2185</v>
      </c>
      <c r="I231" s="9" t="s">
        <v>2186</v>
      </c>
      <c r="J231" s="9" t="s">
        <v>2187</v>
      </c>
      <c r="K231" s="9" t="s">
        <v>2187</v>
      </c>
      <c r="L231" s="9"/>
      <c r="M231" s="9" t="s">
        <v>2188</v>
      </c>
      <c r="N231" s="12" t="str">
        <f>HYPERLINK("https://www.google.com/maps/search/?api=1&amp;query=171-38 105TH AVENUE, JAMAICA, NEW YORK 11433", "OPEN MAP")</f>
        <v>OPEN MAP</v>
      </c>
      <c r="O231" s="9" t="s">
        <v>2189</v>
      </c>
      <c r="P231" s="9" t="s">
        <v>274</v>
      </c>
      <c r="Q231" s="9" t="s">
        <v>765</v>
      </c>
      <c r="R231" s="9">
        <v>11433</v>
      </c>
      <c r="S231" s="13" t="s">
        <v>2190</v>
      </c>
      <c r="T231" s="14"/>
      <c r="U231" s="15"/>
      <c r="V231" s="15">
        <v>38965</v>
      </c>
      <c r="W231" s="14">
        <v>406000</v>
      </c>
      <c r="X231" s="15">
        <v>43525</v>
      </c>
      <c r="Y231" s="14"/>
      <c r="Z231" s="9" t="s">
        <v>2191</v>
      </c>
      <c r="AA231" s="9" t="s">
        <v>2192</v>
      </c>
      <c r="AB231" s="9" t="s">
        <v>768</v>
      </c>
      <c r="AC231" s="9" t="s">
        <v>769</v>
      </c>
      <c r="AD231" s="9"/>
      <c r="AE231" s="9"/>
    </row>
    <row r="232" spans="1:31" x14ac:dyDescent="0.2">
      <c r="A232" s="1" t="s">
        <v>31</v>
      </c>
      <c r="B232" s="1"/>
      <c r="C232" s="3">
        <v>45926</v>
      </c>
      <c r="D232" s="1" t="s">
        <v>32</v>
      </c>
      <c r="E232" s="1"/>
      <c r="F232" s="4" t="s">
        <v>2193</v>
      </c>
      <c r="G232" s="1">
        <v>2019</v>
      </c>
      <c r="H232" s="1" t="s">
        <v>2194</v>
      </c>
      <c r="I232" s="1" t="s">
        <v>2195</v>
      </c>
      <c r="J232" s="1" t="s">
        <v>2196</v>
      </c>
      <c r="K232" s="1" t="s">
        <v>2197</v>
      </c>
      <c r="L232" s="1" t="s">
        <v>2198</v>
      </c>
      <c r="M232" s="1" t="s">
        <v>2199</v>
      </c>
      <c r="N232" s="5" t="str">
        <f>HYPERLINK("https://www.google.com/maps/search/?api=1&amp;query=8017 88Th Road, Woodhaven, NY 11421", "OPEN MAP")</f>
        <v>OPEN MAP</v>
      </c>
      <c r="O232" s="1" t="s">
        <v>2200</v>
      </c>
      <c r="P232" s="1" t="s">
        <v>149</v>
      </c>
      <c r="Q232" s="1" t="s">
        <v>43</v>
      </c>
      <c r="R232" s="1">
        <v>11421</v>
      </c>
      <c r="S232" s="6" t="s">
        <v>2201</v>
      </c>
      <c r="T232" s="7"/>
      <c r="U232" s="8"/>
      <c r="V232" s="8">
        <v>39074</v>
      </c>
      <c r="W232" s="7">
        <v>160000</v>
      </c>
      <c r="X232" s="8">
        <v>42610</v>
      </c>
      <c r="Y232" s="7" t="s">
        <v>2202</v>
      </c>
      <c r="Z232" s="1" t="s">
        <v>1741</v>
      </c>
      <c r="AA232" s="1" t="s">
        <v>1925</v>
      </c>
      <c r="AB232" s="1" t="s">
        <v>709</v>
      </c>
      <c r="AC232" s="1" t="s">
        <v>1114</v>
      </c>
      <c r="AD232" s="1"/>
      <c r="AE232" s="1"/>
    </row>
    <row r="233" spans="1:31" x14ac:dyDescent="0.2">
      <c r="A233" s="9" t="s">
        <v>31</v>
      </c>
      <c r="B233" s="9"/>
      <c r="C233" s="10">
        <v>45926</v>
      </c>
      <c r="D233" s="9" t="s">
        <v>49</v>
      </c>
      <c r="E233" s="9"/>
      <c r="F233" s="11" t="s">
        <v>2203</v>
      </c>
      <c r="G233" s="9">
        <v>2021</v>
      </c>
      <c r="H233" s="9" t="s">
        <v>2204</v>
      </c>
      <c r="I233" s="9" t="s">
        <v>132</v>
      </c>
      <c r="J233" s="9" t="s">
        <v>2205</v>
      </c>
      <c r="K233" s="9" t="s">
        <v>2206</v>
      </c>
      <c r="L233" s="9" t="s">
        <v>2207</v>
      </c>
      <c r="M233" s="9" t="s">
        <v>2208</v>
      </c>
      <c r="N233" s="12" t="str">
        <f>HYPERLINK("https://www.google.com/maps/search/?api=1&amp;query=150-39 108Th Avenue, Jamaica, NY 11433-1909", "OPEN MAP")</f>
        <v>OPEN MAP</v>
      </c>
      <c r="O233" s="9" t="s">
        <v>2209</v>
      </c>
      <c r="P233" s="9" t="s">
        <v>42</v>
      </c>
      <c r="Q233" s="9" t="s">
        <v>43</v>
      </c>
      <c r="R233" s="9" t="s">
        <v>2210</v>
      </c>
      <c r="S233" s="13" t="s">
        <v>2211</v>
      </c>
      <c r="T233" s="14">
        <v>562542.51</v>
      </c>
      <c r="U233" s="15">
        <v>44279</v>
      </c>
      <c r="V233" s="15"/>
      <c r="W233" s="14"/>
      <c r="X233" s="15"/>
      <c r="Y233" s="14"/>
      <c r="Z233" s="9"/>
      <c r="AA233" s="9" t="s">
        <v>45</v>
      </c>
      <c r="AB233" s="9" t="s">
        <v>46</v>
      </c>
      <c r="AC233" s="9" t="s">
        <v>162</v>
      </c>
      <c r="AD233" s="9" t="s">
        <v>2136</v>
      </c>
      <c r="AE233" s="9"/>
    </row>
    <row r="234" spans="1:31" x14ac:dyDescent="0.2">
      <c r="A234" s="1" t="s">
        <v>31</v>
      </c>
      <c r="B234" s="1"/>
      <c r="C234" s="3">
        <v>45926</v>
      </c>
      <c r="D234" s="1" t="s">
        <v>49</v>
      </c>
      <c r="E234" s="1"/>
      <c r="F234" s="4" t="s">
        <v>2212</v>
      </c>
      <c r="G234" s="1">
        <v>2020</v>
      </c>
      <c r="H234" s="1" t="s">
        <v>2213</v>
      </c>
      <c r="I234" s="1" t="s">
        <v>2214</v>
      </c>
      <c r="J234" s="1" t="s">
        <v>2215</v>
      </c>
      <c r="K234" s="1" t="s">
        <v>2216</v>
      </c>
      <c r="L234" s="1"/>
      <c r="M234" s="1" t="s">
        <v>2217</v>
      </c>
      <c r="N234" s="5" t="str">
        <f>HYPERLINK("https://www.google.com/maps/search/?api=1&amp;query=116-52 218th St, Cambria Heights, NY 11411", "OPEN MAP")</f>
        <v>OPEN MAP</v>
      </c>
      <c r="O234" s="1" t="s">
        <v>2218</v>
      </c>
      <c r="P234" s="1" t="s">
        <v>2219</v>
      </c>
      <c r="Q234" s="1" t="s">
        <v>43</v>
      </c>
      <c r="R234" s="1">
        <v>11411</v>
      </c>
      <c r="S234" s="6" t="s">
        <v>2220</v>
      </c>
      <c r="T234" s="7">
        <v>885433.77</v>
      </c>
      <c r="U234" s="8">
        <v>45838</v>
      </c>
      <c r="V234" s="8"/>
      <c r="W234" s="7"/>
      <c r="X234" s="8"/>
      <c r="Y234" s="7"/>
      <c r="Z234" s="1" t="s">
        <v>830</v>
      </c>
      <c r="AA234" s="1" t="s">
        <v>747</v>
      </c>
      <c r="AB234" s="1" t="s">
        <v>748</v>
      </c>
      <c r="AC234" s="1" t="s">
        <v>749</v>
      </c>
      <c r="AD234" s="1" t="s">
        <v>93</v>
      </c>
      <c r="AE234" s="1"/>
    </row>
    <row r="235" spans="1:31" x14ac:dyDescent="0.2">
      <c r="A235" s="9" t="s">
        <v>31</v>
      </c>
      <c r="B235" s="9"/>
      <c r="C235" s="10">
        <v>45926</v>
      </c>
      <c r="D235" s="9" t="s">
        <v>49</v>
      </c>
      <c r="E235" s="9"/>
      <c r="F235" s="11" t="s">
        <v>2221</v>
      </c>
      <c r="G235" s="9">
        <v>2018</v>
      </c>
      <c r="H235" s="9" t="s">
        <v>2222</v>
      </c>
      <c r="I235" s="9" t="s">
        <v>2223</v>
      </c>
      <c r="J235" s="9" t="s">
        <v>2224</v>
      </c>
      <c r="K235" s="9" t="s">
        <v>2224</v>
      </c>
      <c r="L235" s="9"/>
      <c r="M235" s="9" t="s">
        <v>2225</v>
      </c>
      <c r="N235" s="12" t="str">
        <f>HYPERLINK("https://www.google.com/maps/search/?api=1&amp;query=130-65 227th Street, Springfield Gardens a/k/a Laurelton, NY 11413", "OPEN MAP")</f>
        <v>OPEN MAP</v>
      </c>
      <c r="O235" s="9" t="s">
        <v>2226</v>
      </c>
      <c r="P235" s="9" t="s">
        <v>42</v>
      </c>
      <c r="Q235" s="9" t="s">
        <v>43</v>
      </c>
      <c r="R235" s="9">
        <v>11413</v>
      </c>
      <c r="S235" s="13" t="s">
        <v>2227</v>
      </c>
      <c r="T235" s="14">
        <v>787660.31</v>
      </c>
      <c r="U235" s="15">
        <v>45733</v>
      </c>
      <c r="V235" s="15"/>
      <c r="W235" s="14"/>
      <c r="X235" s="15"/>
      <c r="Y235" s="14"/>
      <c r="Z235" s="9"/>
      <c r="AA235" s="9" t="s">
        <v>71</v>
      </c>
      <c r="AB235" s="9" t="s">
        <v>721</v>
      </c>
      <c r="AC235" s="9"/>
      <c r="AD235" s="9" t="s">
        <v>2228</v>
      </c>
      <c r="AE235" s="9"/>
    </row>
    <row r="236" spans="1:31" x14ac:dyDescent="0.2">
      <c r="A236" s="1" t="s">
        <v>31</v>
      </c>
      <c r="B236" s="1"/>
      <c r="C236" s="3">
        <v>45926</v>
      </c>
      <c r="D236" s="1" t="s">
        <v>49</v>
      </c>
      <c r="E236" s="1"/>
      <c r="F236" s="4" t="s">
        <v>2229</v>
      </c>
      <c r="G236" s="1">
        <v>2021</v>
      </c>
      <c r="H236" s="1" t="s">
        <v>2230</v>
      </c>
      <c r="I236" s="1" t="s">
        <v>1290</v>
      </c>
      <c r="J236" s="1" t="s">
        <v>2231</v>
      </c>
      <c r="K236" s="1" t="s">
        <v>2231</v>
      </c>
      <c r="L236" s="1"/>
      <c r="M236" s="1" t="s">
        <v>2232</v>
      </c>
      <c r="N236" s="5" t="str">
        <f>HYPERLINK("https://www.google.com/maps/search/?api=1&amp;query=159-15 91st Street, Howard Beach, NY 11414", "OPEN MAP")</f>
        <v>OPEN MAP</v>
      </c>
      <c r="O236" s="1" t="s">
        <v>2233</v>
      </c>
      <c r="P236" s="1" t="s">
        <v>617</v>
      </c>
      <c r="Q236" s="1" t="s">
        <v>43</v>
      </c>
      <c r="R236" s="1">
        <v>11414</v>
      </c>
      <c r="S236" s="6" t="s">
        <v>2234</v>
      </c>
      <c r="T236" s="7">
        <v>861100.52</v>
      </c>
      <c r="U236" s="8">
        <v>44536</v>
      </c>
      <c r="V236" s="8"/>
      <c r="W236" s="7"/>
      <c r="X236" s="8"/>
      <c r="Y236" s="7"/>
      <c r="Z236" s="1"/>
      <c r="AA236" s="1" t="s">
        <v>415</v>
      </c>
      <c r="AB236" s="1" t="s">
        <v>416</v>
      </c>
      <c r="AC236" s="1" t="s">
        <v>417</v>
      </c>
      <c r="AD236" s="1" t="s">
        <v>2235</v>
      </c>
      <c r="AE236" s="1"/>
    </row>
    <row r="237" spans="1:31" x14ac:dyDescent="0.2">
      <c r="A237" s="9" t="s">
        <v>31</v>
      </c>
      <c r="B237" s="9"/>
      <c r="C237" s="10">
        <v>45926</v>
      </c>
      <c r="D237" s="9" t="s">
        <v>32</v>
      </c>
      <c r="E237" s="9"/>
      <c r="F237" s="11" t="s">
        <v>2236</v>
      </c>
      <c r="G237" s="9">
        <v>2014</v>
      </c>
      <c r="H237" s="9" t="s">
        <v>2237</v>
      </c>
      <c r="I237" s="9" t="s">
        <v>2238</v>
      </c>
      <c r="J237" s="9" t="s">
        <v>2239</v>
      </c>
      <c r="K237" s="9" t="s">
        <v>2239</v>
      </c>
      <c r="L237" s="9"/>
      <c r="M237" s="9" t="s">
        <v>2240</v>
      </c>
      <c r="N237" s="12" t="str">
        <f>HYPERLINK("https://www.google.com/maps/search/?api=1&amp;query=182-26 Avon Road, Jamaica, NY 11432", "OPEN MAP")</f>
        <v>OPEN MAP</v>
      </c>
      <c r="O237" s="9" t="s">
        <v>2241</v>
      </c>
      <c r="P237" s="9" t="s">
        <v>42</v>
      </c>
      <c r="Q237" s="9" t="s">
        <v>43</v>
      </c>
      <c r="R237" s="9">
        <v>11432</v>
      </c>
      <c r="S237" s="13" t="s">
        <v>2242</v>
      </c>
      <c r="T237" s="14">
        <v>663129.94999999995</v>
      </c>
      <c r="U237" s="15">
        <v>42054</v>
      </c>
      <c r="V237" s="15"/>
      <c r="W237" s="14"/>
      <c r="X237" s="15"/>
      <c r="Y237" s="14"/>
      <c r="Z237" s="9"/>
      <c r="AA237" s="9" t="s">
        <v>348</v>
      </c>
      <c r="AB237" s="9" t="s">
        <v>349</v>
      </c>
      <c r="AC237" s="9"/>
      <c r="AD237" s="9" t="s">
        <v>508</v>
      </c>
      <c r="AE237" s="9"/>
    </row>
    <row r="238" spans="1:31" x14ac:dyDescent="0.2">
      <c r="A238" s="1" t="s">
        <v>31</v>
      </c>
      <c r="B238" s="1"/>
      <c r="C238" s="3">
        <v>45926</v>
      </c>
      <c r="D238" s="1" t="s">
        <v>49</v>
      </c>
      <c r="E238" s="1"/>
      <c r="F238" s="4" t="s">
        <v>2243</v>
      </c>
      <c r="G238" s="1">
        <v>2023</v>
      </c>
      <c r="H238" s="1" t="s">
        <v>2244</v>
      </c>
      <c r="I238" s="1" t="s">
        <v>2245</v>
      </c>
      <c r="J238" s="1" t="s">
        <v>2246</v>
      </c>
      <c r="K238" s="1" t="s">
        <v>2247</v>
      </c>
      <c r="L238" s="1"/>
      <c r="M238" s="1" t="s">
        <v>2248</v>
      </c>
      <c r="N238" s="5" t="str">
        <f>HYPERLINK("https://www.google.com/maps/search/?api=1&amp;query=90-63 186th St., Hollis, NY 11423", "OPEN MAP")</f>
        <v>OPEN MAP</v>
      </c>
      <c r="O238" s="1" t="s">
        <v>2249</v>
      </c>
      <c r="P238" s="1" t="s">
        <v>627</v>
      </c>
      <c r="Q238" s="1" t="s">
        <v>43</v>
      </c>
      <c r="R238" s="1">
        <v>11423</v>
      </c>
      <c r="S238" s="6" t="s">
        <v>2250</v>
      </c>
      <c r="T238" s="7">
        <v>452728.21</v>
      </c>
      <c r="U238" s="8">
        <v>45838</v>
      </c>
      <c r="V238" s="8"/>
      <c r="W238" s="7"/>
      <c r="X238" s="8"/>
      <c r="Y238" s="7"/>
      <c r="Z238" s="1"/>
      <c r="AA238" s="1" t="s">
        <v>2251</v>
      </c>
      <c r="AB238" s="1" t="s">
        <v>2252</v>
      </c>
      <c r="AC238" s="1" t="s">
        <v>2253</v>
      </c>
      <c r="AD238" s="1" t="s">
        <v>1561</v>
      </c>
      <c r="AE238" s="1"/>
    </row>
    <row r="239" spans="1:31" x14ac:dyDescent="0.2">
      <c r="A239" s="9" t="s">
        <v>31</v>
      </c>
      <c r="B239" s="9"/>
      <c r="C239" s="10">
        <v>45926</v>
      </c>
      <c r="D239" s="9" t="s">
        <v>49</v>
      </c>
      <c r="E239" s="9" t="s">
        <v>33</v>
      </c>
      <c r="F239" s="11" t="s">
        <v>2254</v>
      </c>
      <c r="G239" s="9">
        <v>2016</v>
      </c>
      <c r="H239" s="9" t="s">
        <v>2255</v>
      </c>
      <c r="I239" s="9" t="s">
        <v>203</v>
      </c>
      <c r="J239" s="9" t="s">
        <v>2256</v>
      </c>
      <c r="K239" s="9" t="s">
        <v>2257</v>
      </c>
      <c r="L239" s="9"/>
      <c r="M239" s="9" t="s">
        <v>2258</v>
      </c>
      <c r="N239" s="12" t="str">
        <f>HYPERLINK("https://www.google.com/maps/search/?api=1&amp;query=105-10 130th Street, South Richmond Hill, NY 11419", "OPEN MAP")</f>
        <v>OPEN MAP</v>
      </c>
      <c r="O239" s="9" t="s">
        <v>2259</v>
      </c>
      <c r="P239" s="9" t="s">
        <v>110</v>
      </c>
      <c r="Q239" s="9" t="s">
        <v>43</v>
      </c>
      <c r="R239" s="9">
        <v>11419</v>
      </c>
      <c r="S239" s="13" t="s">
        <v>2260</v>
      </c>
      <c r="T239" s="14">
        <v>976734.64</v>
      </c>
      <c r="U239" s="15">
        <v>43676</v>
      </c>
      <c r="V239" s="15"/>
      <c r="W239" s="14"/>
      <c r="X239" s="15"/>
      <c r="Y239" s="14"/>
      <c r="Z239" s="9"/>
      <c r="AA239" s="9" t="s">
        <v>1122</v>
      </c>
      <c r="AB239" s="9" t="s">
        <v>1123</v>
      </c>
      <c r="AC239" s="9"/>
      <c r="AD239" s="9" t="s">
        <v>2235</v>
      </c>
      <c r="AE239" s="9"/>
    </row>
    <row r="240" spans="1:31" x14ac:dyDescent="0.2">
      <c r="A240" s="1" t="s">
        <v>31</v>
      </c>
      <c r="B240" s="1"/>
      <c r="C240" s="3">
        <v>45933</v>
      </c>
      <c r="D240" s="1" t="s">
        <v>49</v>
      </c>
      <c r="E240" s="1" t="s">
        <v>33</v>
      </c>
      <c r="F240" s="4" t="s">
        <v>2261</v>
      </c>
      <c r="G240" s="1">
        <v>2014</v>
      </c>
      <c r="H240" s="1" t="s">
        <v>2262</v>
      </c>
      <c r="I240" s="1" t="s">
        <v>2263</v>
      </c>
      <c r="J240" s="1" t="s">
        <v>2264</v>
      </c>
      <c r="K240" s="1" t="s">
        <v>2264</v>
      </c>
      <c r="L240" s="1"/>
      <c r="M240" s="1" t="s">
        <v>2265</v>
      </c>
      <c r="N240" s="5" t="str">
        <f>HYPERLINK("https://www.google.com/maps/search/?api=1&amp;query=153-26 FOCH BLVD, JAMAICA, NY 11434", "OPEN MAP")</f>
        <v>OPEN MAP</v>
      </c>
      <c r="O240" s="1" t="s">
        <v>2266</v>
      </c>
      <c r="P240" s="1" t="s">
        <v>274</v>
      </c>
      <c r="Q240" s="1" t="s">
        <v>43</v>
      </c>
      <c r="R240" s="1">
        <v>11434</v>
      </c>
      <c r="S240" s="6" t="s">
        <v>2267</v>
      </c>
      <c r="T240" s="7"/>
      <c r="U240" s="8">
        <v>43719</v>
      </c>
      <c r="V240" s="8"/>
      <c r="W240" s="7"/>
      <c r="X240" s="8"/>
      <c r="Y240" s="7"/>
      <c r="Z240" s="1"/>
      <c r="AA240" s="1" t="s">
        <v>60</v>
      </c>
      <c r="AB240" s="1" t="s">
        <v>61</v>
      </c>
      <c r="AC240" s="1"/>
      <c r="AD240" s="1" t="s">
        <v>2268</v>
      </c>
      <c r="AE240" s="1"/>
    </row>
    <row r="241" spans="1:31" x14ac:dyDescent="0.2">
      <c r="A241" s="9" t="s">
        <v>31</v>
      </c>
      <c r="B241" s="9"/>
      <c r="C241" s="10">
        <v>45933</v>
      </c>
      <c r="D241" s="9" t="s">
        <v>49</v>
      </c>
      <c r="E241" s="9"/>
      <c r="F241" s="11" t="s">
        <v>2269</v>
      </c>
      <c r="G241" s="9">
        <v>2020</v>
      </c>
      <c r="H241" s="9" t="s">
        <v>2270</v>
      </c>
      <c r="I241" s="9" t="s">
        <v>2271</v>
      </c>
      <c r="J241" s="9" t="s">
        <v>2272</v>
      </c>
      <c r="K241" s="9" t="s">
        <v>2273</v>
      </c>
      <c r="L241" s="9"/>
      <c r="M241" s="9" t="s">
        <v>2274</v>
      </c>
      <c r="N241" s="12" t="str">
        <f>HYPERLINK("https://www.google.com/maps/search/?api=1&amp;query=241-05B Oak Park Drive, Douglaston, New York 11362", "OPEN MAP")</f>
        <v>OPEN MAP</v>
      </c>
      <c r="O241" s="9" t="s">
        <v>2275</v>
      </c>
      <c r="P241" s="9" t="s">
        <v>2276</v>
      </c>
      <c r="Q241" s="9" t="s">
        <v>43</v>
      </c>
      <c r="R241" s="9">
        <v>11362</v>
      </c>
      <c r="S241" s="13" t="s">
        <v>2277</v>
      </c>
      <c r="T241" s="14"/>
      <c r="U241" s="15"/>
      <c r="V241" s="15" t="s">
        <v>2278</v>
      </c>
      <c r="W241" s="14">
        <v>448000</v>
      </c>
      <c r="X241" s="15"/>
      <c r="Y241" s="14"/>
      <c r="Z241" s="9" t="s">
        <v>2058</v>
      </c>
      <c r="AA241" s="9" t="s">
        <v>2279</v>
      </c>
      <c r="AB241" s="9" t="s">
        <v>768</v>
      </c>
      <c r="AC241" s="9" t="s">
        <v>769</v>
      </c>
      <c r="AD241" s="9"/>
      <c r="AE241" s="9"/>
    </row>
    <row r="242" spans="1:31" x14ac:dyDescent="0.2">
      <c r="A242" s="1" t="s">
        <v>31</v>
      </c>
      <c r="B242" s="1"/>
      <c r="C242" s="3">
        <v>45933</v>
      </c>
      <c r="D242" s="1" t="s">
        <v>49</v>
      </c>
      <c r="E242" s="1"/>
      <c r="F242" s="4" t="s">
        <v>2280</v>
      </c>
      <c r="G242" s="1">
        <v>2020</v>
      </c>
      <c r="H242" s="1" t="s">
        <v>2281</v>
      </c>
      <c r="I242" s="1" t="s">
        <v>194</v>
      </c>
      <c r="J242" s="1" t="s">
        <v>2282</v>
      </c>
      <c r="K242" s="1" t="s">
        <v>2283</v>
      </c>
      <c r="L242" s="1"/>
      <c r="M242" s="1" t="s">
        <v>2284</v>
      </c>
      <c r="N242" s="5" t="str">
        <f>HYPERLINK("https://www.google.com/maps/search/?api=1&amp;query=120-71 132ND STREET, SOUTH OZONE PARK, NY 11420", "OPEN MAP")</f>
        <v>OPEN MAP</v>
      </c>
      <c r="O242" s="1" t="s">
        <v>2285</v>
      </c>
      <c r="P242" s="1" t="s">
        <v>207</v>
      </c>
      <c r="Q242" s="1" t="s">
        <v>43</v>
      </c>
      <c r="R242" s="1">
        <v>11420</v>
      </c>
      <c r="S242" s="6" t="s">
        <v>2286</v>
      </c>
      <c r="T242" s="7"/>
      <c r="U242" s="8"/>
      <c r="V242" s="8">
        <v>39377</v>
      </c>
      <c r="W242" s="7">
        <v>471350</v>
      </c>
      <c r="X242" s="8"/>
      <c r="Y242" s="7"/>
      <c r="Z242" s="1" t="s">
        <v>2287</v>
      </c>
      <c r="AA242" s="1" t="s">
        <v>91</v>
      </c>
      <c r="AB242" s="1" t="s">
        <v>518</v>
      </c>
      <c r="AC242" s="1" t="s">
        <v>2288</v>
      </c>
      <c r="AD242" s="1"/>
      <c r="AE242" s="1"/>
    </row>
    <row r="243" spans="1:31" x14ac:dyDescent="0.2">
      <c r="A243" s="9" t="s">
        <v>31</v>
      </c>
      <c r="B243" s="9"/>
      <c r="C243" s="10">
        <v>45933</v>
      </c>
      <c r="D243" s="9" t="s">
        <v>49</v>
      </c>
      <c r="E243" s="9"/>
      <c r="F243" s="11" t="s">
        <v>2289</v>
      </c>
      <c r="G243" s="9">
        <v>2014</v>
      </c>
      <c r="H243" s="9" t="s">
        <v>2290</v>
      </c>
      <c r="I243" s="9" t="s">
        <v>2291</v>
      </c>
      <c r="J243" s="9" t="s">
        <v>2292</v>
      </c>
      <c r="K243" s="9" t="s">
        <v>2292</v>
      </c>
      <c r="L243" s="9"/>
      <c r="M243" s="9" t="s">
        <v>2293</v>
      </c>
      <c r="N243" s="12" t="str">
        <f>HYPERLINK("https://www.google.com/maps/search/?api=1&amp;query=111-40 148th Street, Jamaica, NY 11435", "OPEN MAP")</f>
        <v>OPEN MAP</v>
      </c>
      <c r="O243" s="9" t="s">
        <v>2294</v>
      </c>
      <c r="P243" s="9" t="s">
        <v>42</v>
      </c>
      <c r="Q243" s="9" t="s">
        <v>43</v>
      </c>
      <c r="R243" s="9">
        <v>11435</v>
      </c>
      <c r="S243" s="13" t="s">
        <v>2295</v>
      </c>
      <c r="T243" s="14">
        <v>584253.84</v>
      </c>
      <c r="U243" s="15">
        <v>45393</v>
      </c>
      <c r="V243" s="15"/>
      <c r="W243" s="14"/>
      <c r="X243" s="15"/>
      <c r="Y243" s="14"/>
      <c r="Z243" s="9"/>
      <c r="AA243" s="9" t="s">
        <v>2296</v>
      </c>
      <c r="AB243" s="9" t="s">
        <v>2297</v>
      </c>
      <c r="AC243" s="9"/>
      <c r="AD243" s="9" t="s">
        <v>2298</v>
      </c>
      <c r="AE243" s="9"/>
    </row>
    <row r="244" spans="1:31" x14ac:dyDescent="0.2">
      <c r="A244" s="1" t="s">
        <v>31</v>
      </c>
      <c r="B244" s="1"/>
      <c r="C244" s="3">
        <v>45933</v>
      </c>
      <c r="D244" s="1" t="s">
        <v>49</v>
      </c>
      <c r="E244" s="1"/>
      <c r="F244" s="4" t="s">
        <v>2299</v>
      </c>
      <c r="G244" s="1">
        <v>2020</v>
      </c>
      <c r="H244" s="1" t="s">
        <v>2300</v>
      </c>
      <c r="I244" s="1" t="s">
        <v>2301</v>
      </c>
      <c r="J244" s="1" t="s">
        <v>2302</v>
      </c>
      <c r="K244" s="1" t="s">
        <v>2303</v>
      </c>
      <c r="L244" s="1" t="s">
        <v>2304</v>
      </c>
      <c r="M244" s="1" t="s">
        <v>2305</v>
      </c>
      <c r="N244" s="5" t="str">
        <f>HYPERLINK("https://www.google.com/maps/search/?api=1&amp;query=160-15 119th Avenue, Jamaica, NY 11434", "OPEN MAP")</f>
        <v>OPEN MAP</v>
      </c>
      <c r="O244" s="1" t="s">
        <v>2306</v>
      </c>
      <c r="P244" s="1" t="s">
        <v>42</v>
      </c>
      <c r="Q244" s="1" t="s">
        <v>43</v>
      </c>
      <c r="R244" s="1">
        <v>11434</v>
      </c>
      <c r="S244" s="6" t="s">
        <v>2307</v>
      </c>
      <c r="T244" s="7">
        <v>453651.74</v>
      </c>
      <c r="U244" s="8">
        <v>45264</v>
      </c>
      <c r="V244" s="8"/>
      <c r="W244" s="7"/>
      <c r="X244" s="8"/>
      <c r="Y244" s="7"/>
      <c r="Z244" s="1" t="s">
        <v>830</v>
      </c>
      <c r="AA244" s="1" t="s">
        <v>747</v>
      </c>
      <c r="AB244" s="1" t="s">
        <v>748</v>
      </c>
      <c r="AC244" s="1" t="s">
        <v>749</v>
      </c>
      <c r="AD244" s="1" t="s">
        <v>338</v>
      </c>
      <c r="AE244" s="1" t="s">
        <v>2308</v>
      </c>
    </row>
    <row r="245" spans="1:31" x14ac:dyDescent="0.2">
      <c r="A245" s="9" t="s">
        <v>31</v>
      </c>
      <c r="B245" s="9"/>
      <c r="C245" s="10">
        <v>45933</v>
      </c>
      <c r="D245" s="9" t="s">
        <v>49</v>
      </c>
      <c r="E245" s="9"/>
      <c r="F245" s="11" t="s">
        <v>2309</v>
      </c>
      <c r="G245" s="9">
        <v>2024</v>
      </c>
      <c r="H245" s="9" t="s">
        <v>2310</v>
      </c>
      <c r="I245" s="9" t="s">
        <v>732</v>
      </c>
      <c r="J245" s="9" t="s">
        <v>2311</v>
      </c>
      <c r="K245" s="9" t="s">
        <v>2312</v>
      </c>
      <c r="L245" s="9"/>
      <c r="M245" s="9" t="s">
        <v>2313</v>
      </c>
      <c r="N245" s="12" t="str">
        <f>HYPERLINK("https://www.google.com/maps/search/?api=1&amp;query=5353 61ST STREET MASPETH, NY 11378", "OPEN MAP")</f>
        <v>OPEN MAP</v>
      </c>
      <c r="O245" s="9" t="s">
        <v>2314</v>
      </c>
      <c r="P245" s="9" t="s">
        <v>2145</v>
      </c>
      <c r="Q245" s="9" t="s">
        <v>43</v>
      </c>
      <c r="R245" s="9">
        <v>11378</v>
      </c>
      <c r="S245" s="13" t="s">
        <v>2315</v>
      </c>
      <c r="T245" s="14"/>
      <c r="U245" s="15"/>
      <c r="V245" s="15">
        <v>40201</v>
      </c>
      <c r="W245" s="14">
        <v>705000</v>
      </c>
      <c r="X245" s="15"/>
      <c r="Y245" s="14"/>
      <c r="Z245" s="9" t="s">
        <v>2316</v>
      </c>
      <c r="AA245" s="9" t="s">
        <v>2317</v>
      </c>
      <c r="AB245" s="9" t="s">
        <v>2318</v>
      </c>
      <c r="AC245" s="9" t="s">
        <v>2319</v>
      </c>
      <c r="AD245" s="9"/>
      <c r="AE245" s="9"/>
    </row>
    <row r="246" spans="1:31" x14ac:dyDescent="0.2">
      <c r="A246" s="1" t="s">
        <v>115</v>
      </c>
      <c r="B246" s="1"/>
      <c r="C246" s="3">
        <v>45933</v>
      </c>
      <c r="D246" s="1" t="s">
        <v>49</v>
      </c>
      <c r="E246" s="1"/>
      <c r="F246" s="4" t="s">
        <v>2320</v>
      </c>
      <c r="G246" s="1">
        <v>2023</v>
      </c>
      <c r="H246" s="1" t="s">
        <v>2321</v>
      </c>
      <c r="I246" s="1" t="s">
        <v>2322</v>
      </c>
      <c r="J246" s="1" t="s">
        <v>2323</v>
      </c>
      <c r="K246" s="1" t="s">
        <v>2324</v>
      </c>
      <c r="L246" s="1" t="s">
        <v>2325</v>
      </c>
      <c r="M246" s="1" t="s">
        <v>2326</v>
      </c>
      <c r="N246" s="5" t="str">
        <f>HYPERLINK("https://www.google.com/maps/search/?api=1&amp;query=2549 37th Street Astoria, New York 11103", "OPEN MAP")</f>
        <v>OPEN MAP</v>
      </c>
      <c r="O246" s="1" t="s">
        <v>2327</v>
      </c>
      <c r="P246" s="1" t="s">
        <v>1013</v>
      </c>
      <c r="Q246" s="1" t="s">
        <v>251</v>
      </c>
      <c r="R246" s="1">
        <v>11103</v>
      </c>
      <c r="S246" s="6" t="s">
        <v>2328</v>
      </c>
      <c r="T246" s="7"/>
      <c r="U246" s="8"/>
      <c r="V246" s="8">
        <v>39553</v>
      </c>
      <c r="W246" s="7">
        <v>350000</v>
      </c>
      <c r="X246" s="8">
        <v>41696</v>
      </c>
      <c r="Y246" s="7">
        <v>350195.02</v>
      </c>
      <c r="Z246" s="1" t="s">
        <v>2329</v>
      </c>
      <c r="AA246" s="1" t="s">
        <v>239</v>
      </c>
      <c r="AB246" s="1" t="s">
        <v>240</v>
      </c>
      <c r="AC246" s="1" t="s">
        <v>2330</v>
      </c>
      <c r="AD246" s="1"/>
      <c r="AE246" s="1"/>
    </row>
    <row r="247" spans="1:31" x14ac:dyDescent="0.2">
      <c r="A247" s="9" t="s">
        <v>31</v>
      </c>
      <c r="B247" s="9"/>
      <c r="C247" s="10">
        <v>45933</v>
      </c>
      <c r="D247" s="9" t="s">
        <v>49</v>
      </c>
      <c r="E247" s="9"/>
      <c r="F247" s="11" t="s">
        <v>2331</v>
      </c>
      <c r="G247" s="9">
        <v>2021</v>
      </c>
      <c r="H247" s="9" t="s">
        <v>2332</v>
      </c>
      <c r="I247" s="9" t="s">
        <v>2333</v>
      </c>
      <c r="J247" s="9" t="s">
        <v>2334</v>
      </c>
      <c r="K247" s="9" t="s">
        <v>2334</v>
      </c>
      <c r="L247" s="9"/>
      <c r="M247" s="9" t="s">
        <v>2335</v>
      </c>
      <c r="N247" s="12" t="str">
        <f>HYPERLINK("https://www.google.com/maps/search/?api=1&amp;query=135-15 220TH PLACE, LAURELTON, NY 11413", "OPEN MAP")</f>
        <v>OPEN MAP</v>
      </c>
      <c r="O247" s="9" t="s">
        <v>2336</v>
      </c>
      <c r="P247" s="9" t="s">
        <v>189</v>
      </c>
      <c r="Q247" s="9" t="s">
        <v>43</v>
      </c>
      <c r="R247" s="9">
        <v>11413</v>
      </c>
      <c r="S247" s="13" t="s">
        <v>2337</v>
      </c>
      <c r="T247" s="14"/>
      <c r="U247" s="15">
        <v>45190</v>
      </c>
      <c r="V247" s="15"/>
      <c r="W247" s="14"/>
      <c r="X247" s="15"/>
      <c r="Y247" s="14"/>
      <c r="Z247" s="9"/>
      <c r="AA247" s="9" t="s">
        <v>60</v>
      </c>
      <c r="AB247" s="9" t="s">
        <v>61</v>
      </c>
      <c r="AC247" s="9"/>
      <c r="AD247" s="9" t="s">
        <v>2338</v>
      </c>
      <c r="AE247" s="9"/>
    </row>
    <row r="248" spans="1:31" x14ac:dyDescent="0.2">
      <c r="A248" s="1" t="s">
        <v>31</v>
      </c>
      <c r="B248" s="1"/>
      <c r="C248" s="3">
        <v>45933</v>
      </c>
      <c r="D248" s="1" t="s">
        <v>32</v>
      </c>
      <c r="E248" s="1"/>
      <c r="F248" s="4" t="s">
        <v>2339</v>
      </c>
      <c r="G248" s="1">
        <v>2022</v>
      </c>
      <c r="H248" s="1" t="s">
        <v>2340</v>
      </c>
      <c r="I248" s="1" t="s">
        <v>2341</v>
      </c>
      <c r="J248" s="1" t="s">
        <v>2342</v>
      </c>
      <c r="K248" s="1" t="s">
        <v>2343</v>
      </c>
      <c r="L248" s="1" t="s">
        <v>2344</v>
      </c>
      <c r="M248" s="1" t="s">
        <v>2345</v>
      </c>
      <c r="N248" s="5" t="str">
        <f>HYPERLINK("https://www.google.com/maps/search/?api=1&amp;query=90-27 52nd AVENUE, ELMHURST, NY 11373", "OPEN MAP")</f>
        <v>OPEN MAP</v>
      </c>
      <c r="O248" s="1" t="s">
        <v>2346</v>
      </c>
      <c r="P248" s="1" t="s">
        <v>123</v>
      </c>
      <c r="Q248" s="1" t="s">
        <v>43</v>
      </c>
      <c r="R248" s="1">
        <v>11373</v>
      </c>
      <c r="S248" s="6" t="s">
        <v>2347</v>
      </c>
      <c r="T248" s="7">
        <v>51570.7</v>
      </c>
      <c r="U248" s="8">
        <v>44861</v>
      </c>
      <c r="V248" s="8"/>
      <c r="W248" s="7"/>
      <c r="X248" s="8"/>
      <c r="Y248" s="7"/>
      <c r="Z248" s="1" t="s">
        <v>2348</v>
      </c>
      <c r="AA248" s="1" t="s">
        <v>287</v>
      </c>
      <c r="AB248" s="1" t="s">
        <v>288</v>
      </c>
      <c r="AC248" s="1" t="s">
        <v>2349</v>
      </c>
      <c r="AD248" s="1" t="s">
        <v>2350</v>
      </c>
      <c r="AE248" s="1"/>
    </row>
    <row r="249" spans="1:31" x14ac:dyDescent="0.2">
      <c r="A249" s="9" t="s">
        <v>31</v>
      </c>
      <c r="B249" s="9"/>
      <c r="C249" s="10">
        <v>45933</v>
      </c>
      <c r="D249" s="9" t="s">
        <v>49</v>
      </c>
      <c r="E249" s="9"/>
      <c r="F249" s="11" t="s">
        <v>2351</v>
      </c>
      <c r="G249" s="9">
        <v>2024</v>
      </c>
      <c r="H249" s="9" t="s">
        <v>2352</v>
      </c>
      <c r="I249" s="9" t="s">
        <v>2353</v>
      </c>
      <c r="J249" s="9" t="s">
        <v>2354</v>
      </c>
      <c r="K249" s="9" t="s">
        <v>2354</v>
      </c>
      <c r="L249" s="9" t="s">
        <v>2355</v>
      </c>
      <c r="M249" s="9" t="s">
        <v>2356</v>
      </c>
      <c r="N249" s="12" t="str">
        <f>HYPERLINK("https://www.google.com/maps/search/?api=1&amp;query=209-11 85th Avenue, Queens Village, New York 11427", "OPEN MAP")</f>
        <v>OPEN MAP</v>
      </c>
      <c r="O249" s="9" t="s">
        <v>2357</v>
      </c>
      <c r="P249" s="9" t="s">
        <v>515</v>
      </c>
      <c r="Q249" s="9" t="s">
        <v>251</v>
      </c>
      <c r="R249" s="9">
        <v>11427</v>
      </c>
      <c r="S249" s="13" t="s">
        <v>2358</v>
      </c>
      <c r="T249" s="14">
        <v>574185.34</v>
      </c>
      <c r="U249" s="15">
        <v>45791</v>
      </c>
      <c r="V249" s="15"/>
      <c r="W249" s="14"/>
      <c r="X249" s="15"/>
      <c r="Y249" s="14"/>
      <c r="Z249" s="9"/>
      <c r="AA249" s="9" t="s">
        <v>2359</v>
      </c>
      <c r="AB249" s="9" t="s">
        <v>2360</v>
      </c>
      <c r="AC249" s="9" t="s">
        <v>2361</v>
      </c>
      <c r="AD249" s="9" t="s">
        <v>2362</v>
      </c>
      <c r="AE249" s="9"/>
    </row>
    <row r="250" spans="1:31" x14ac:dyDescent="0.2">
      <c r="A250" s="1" t="s">
        <v>31</v>
      </c>
      <c r="B250" s="1"/>
      <c r="C250" s="3">
        <v>45933</v>
      </c>
      <c r="D250" s="1" t="s">
        <v>49</v>
      </c>
      <c r="E250" s="1"/>
      <c r="F250" s="4" t="s">
        <v>2363</v>
      </c>
      <c r="G250" s="1">
        <v>2024</v>
      </c>
      <c r="H250" s="1" t="s">
        <v>2364</v>
      </c>
      <c r="I250" s="1" t="s">
        <v>2365</v>
      </c>
      <c r="J250" s="1" t="s">
        <v>2366</v>
      </c>
      <c r="K250" s="1" t="s">
        <v>2367</v>
      </c>
      <c r="L250" s="1" t="s">
        <v>2368</v>
      </c>
      <c r="M250" s="1" t="s">
        <v>2369</v>
      </c>
      <c r="N250" s="5" t="str">
        <f>HYPERLINK("https://www.google.com/maps/search/?api=1&amp;query=76-15 35th Avenue, Unit 2R Jackson Heights, NY 11372", "OPEN MAP")</f>
        <v>OPEN MAP</v>
      </c>
      <c r="O250" s="1" t="s">
        <v>2370</v>
      </c>
      <c r="P250" s="1" t="s">
        <v>1550</v>
      </c>
      <c r="Q250" s="1" t="s">
        <v>43</v>
      </c>
      <c r="R250" s="1">
        <v>11372</v>
      </c>
      <c r="S250" s="6" t="s">
        <v>2371</v>
      </c>
      <c r="T250" s="7"/>
      <c r="U250" s="8"/>
      <c r="V250" s="8"/>
      <c r="W250" s="7"/>
      <c r="X250" s="8"/>
      <c r="Y250" s="7"/>
      <c r="Z250" s="1" t="s">
        <v>2372</v>
      </c>
      <c r="AA250" s="1" t="s">
        <v>2373</v>
      </c>
      <c r="AB250" s="1" t="s">
        <v>2374</v>
      </c>
      <c r="AC250" s="1" t="s">
        <v>2375</v>
      </c>
      <c r="AD250" s="1"/>
      <c r="AE250" s="1"/>
    </row>
    <row r="251" spans="1:31" x14ac:dyDescent="0.2">
      <c r="A251" s="9" t="s">
        <v>31</v>
      </c>
      <c r="B251" s="9"/>
      <c r="C251" s="10">
        <v>45933</v>
      </c>
      <c r="D251" s="9" t="s">
        <v>49</v>
      </c>
      <c r="E251" s="9" t="s">
        <v>33</v>
      </c>
      <c r="F251" s="11" t="s">
        <v>2376</v>
      </c>
      <c r="G251" s="9">
        <v>2013</v>
      </c>
      <c r="H251" s="9" t="s">
        <v>2377</v>
      </c>
      <c r="I251" s="9" t="s">
        <v>2378</v>
      </c>
      <c r="J251" s="9" t="s">
        <v>2379</v>
      </c>
      <c r="K251" s="9" t="s">
        <v>2379</v>
      </c>
      <c r="L251" s="9"/>
      <c r="M251" s="9" t="s">
        <v>2380</v>
      </c>
      <c r="N251" s="12" t="str">
        <f>HYPERLINK("https://www.google.com/maps/search/?api=1&amp;query=120 -31 142nd Street, Jamaica, NY 11436", "OPEN MAP")</f>
        <v>OPEN MAP</v>
      </c>
      <c r="O251" s="9" t="s">
        <v>2381</v>
      </c>
      <c r="P251" s="9" t="s">
        <v>42</v>
      </c>
      <c r="Q251" s="9" t="s">
        <v>43</v>
      </c>
      <c r="R251" s="9">
        <v>11436</v>
      </c>
      <c r="S251" s="13" t="s">
        <v>2382</v>
      </c>
      <c r="T251" s="14">
        <v>496749.32</v>
      </c>
      <c r="U251" s="15">
        <v>42317</v>
      </c>
      <c r="V251" s="15"/>
      <c r="W251" s="14"/>
      <c r="X251" s="15"/>
      <c r="Y251" s="14"/>
      <c r="Z251" s="9"/>
      <c r="AA251" s="9" t="s">
        <v>45</v>
      </c>
      <c r="AB251" s="9" t="s">
        <v>46</v>
      </c>
      <c r="AC251" s="9" t="s">
        <v>47</v>
      </c>
      <c r="AD251" s="9" t="s">
        <v>499</v>
      </c>
      <c r="AE251" s="9"/>
    </row>
    <row r="252" spans="1:31" x14ac:dyDescent="0.2">
      <c r="A252" s="1" t="s">
        <v>31</v>
      </c>
      <c r="B252" s="1"/>
      <c r="C252" s="3">
        <v>45933</v>
      </c>
      <c r="D252" s="1" t="s">
        <v>49</v>
      </c>
      <c r="E252" s="1"/>
      <c r="F252" s="4" t="s">
        <v>2383</v>
      </c>
      <c r="G252" s="1">
        <v>2012</v>
      </c>
      <c r="H252" s="1" t="s">
        <v>2384</v>
      </c>
      <c r="I252" s="1" t="s">
        <v>586</v>
      </c>
      <c r="J252" s="1" t="s">
        <v>2385</v>
      </c>
      <c r="K252" s="1" t="s">
        <v>2386</v>
      </c>
      <c r="L252" s="1" t="s">
        <v>2387</v>
      </c>
      <c r="M252" s="1" t="s">
        <v>2388</v>
      </c>
      <c r="N252" s="5" t="str">
        <f>HYPERLINK("https://www.google.com/maps/search/?api=1&amp;query=144-44 226th Street, Springfield Gardens, New York 11413", "OPEN MAP")</f>
        <v>OPEN MAP</v>
      </c>
      <c r="O252" s="1" t="s">
        <v>2389</v>
      </c>
      <c r="P252" s="1" t="s">
        <v>89</v>
      </c>
      <c r="Q252" s="1" t="s">
        <v>251</v>
      </c>
      <c r="R252" s="1">
        <v>11413</v>
      </c>
      <c r="S252" s="6" t="s">
        <v>2390</v>
      </c>
      <c r="T252" s="7">
        <v>494293.9</v>
      </c>
      <c r="U252" s="8">
        <v>43348</v>
      </c>
      <c r="V252" s="8"/>
      <c r="W252" s="7"/>
      <c r="X252" s="8"/>
      <c r="Y252" s="7"/>
      <c r="Z252" s="1"/>
      <c r="AA252" s="1" t="s">
        <v>318</v>
      </c>
      <c r="AB252" s="1" t="s">
        <v>2391</v>
      </c>
      <c r="AC252" s="1"/>
      <c r="AD252" s="1" t="s">
        <v>2392</v>
      </c>
      <c r="AE252" s="1"/>
    </row>
    <row r="253" spans="1:31" x14ac:dyDescent="0.2">
      <c r="A253" s="9" t="s">
        <v>31</v>
      </c>
      <c r="B253" s="9"/>
      <c r="C253" s="10">
        <v>45933</v>
      </c>
      <c r="D253" s="9" t="s">
        <v>49</v>
      </c>
      <c r="E253" s="9"/>
      <c r="F253" s="11" t="s">
        <v>2393</v>
      </c>
      <c r="G253" s="9">
        <v>2022</v>
      </c>
      <c r="H253" s="9" t="s">
        <v>2394</v>
      </c>
      <c r="I253" s="9" t="s">
        <v>2395</v>
      </c>
      <c r="J253" s="9" t="s">
        <v>2396</v>
      </c>
      <c r="K253" s="9" t="s">
        <v>2396</v>
      </c>
      <c r="L253" s="9"/>
      <c r="M253" s="9" t="s">
        <v>2397</v>
      </c>
      <c r="N253" s="12" t="str">
        <f>HYPERLINK("https://www.google.com/maps/search/?api=1&amp;query=117-26 204th Street, St. Albans, NY 11412", "OPEN MAP")</f>
        <v>OPEN MAP</v>
      </c>
      <c r="O253" s="9" t="s">
        <v>2398</v>
      </c>
      <c r="P253" s="9" t="s">
        <v>828</v>
      </c>
      <c r="Q253" s="9" t="s">
        <v>43</v>
      </c>
      <c r="R253" s="9">
        <v>11412</v>
      </c>
      <c r="S253" s="13" t="s">
        <v>2399</v>
      </c>
      <c r="T253" s="14">
        <v>502457.75</v>
      </c>
      <c r="U253" s="15">
        <v>45583</v>
      </c>
      <c r="V253" s="15"/>
      <c r="W253" s="14"/>
      <c r="X253" s="15"/>
      <c r="Y253" s="14"/>
      <c r="Z253" s="9"/>
      <c r="AA253" s="9" t="s">
        <v>1356</v>
      </c>
      <c r="AB253" s="9" t="s">
        <v>1357</v>
      </c>
      <c r="AC253" s="9"/>
      <c r="AD253" s="9" t="s">
        <v>2400</v>
      </c>
      <c r="AE253" s="9"/>
    </row>
    <row r="254" spans="1:31" x14ac:dyDescent="0.2">
      <c r="A254" s="1" t="s">
        <v>31</v>
      </c>
      <c r="B254" s="1"/>
      <c r="C254" s="3">
        <v>45933</v>
      </c>
      <c r="D254" s="1" t="s">
        <v>32</v>
      </c>
      <c r="E254" s="1"/>
      <c r="F254" s="4" t="s">
        <v>2401</v>
      </c>
      <c r="G254" s="1">
        <v>2011</v>
      </c>
      <c r="H254" s="1" t="s">
        <v>2402</v>
      </c>
      <c r="I254" s="1" t="s">
        <v>2403</v>
      </c>
      <c r="J254" s="1" t="s">
        <v>2404</v>
      </c>
      <c r="K254" s="1" t="s">
        <v>2405</v>
      </c>
      <c r="L254" s="1" t="s">
        <v>2406</v>
      </c>
      <c r="M254" s="1" t="s">
        <v>2407</v>
      </c>
      <c r="N254" s="5" t="str">
        <f>HYPERLINK("https://www.google.com/maps/search/?api=1&amp;query=109-10 FRANCIS LEWIS BOULEVARD, QUEENS VILLAGE, NY 11429", "OPEN MAP")</f>
        <v>OPEN MAP</v>
      </c>
      <c r="O254" s="1" t="s">
        <v>2408</v>
      </c>
      <c r="P254" s="1" t="s">
        <v>515</v>
      </c>
      <c r="Q254" s="1" t="s">
        <v>43</v>
      </c>
      <c r="R254" s="1">
        <v>11429</v>
      </c>
      <c r="S254" s="6" t="s">
        <v>2409</v>
      </c>
      <c r="T254" s="7"/>
      <c r="U254" s="8"/>
      <c r="V254" s="8"/>
      <c r="W254" s="7"/>
      <c r="X254" s="8"/>
      <c r="Y254" s="7"/>
      <c r="Z254" s="1"/>
      <c r="AA254" s="1" t="s">
        <v>2410</v>
      </c>
      <c r="AB254" s="1" t="s">
        <v>2411</v>
      </c>
      <c r="AC254" s="1" t="s">
        <v>2412</v>
      </c>
      <c r="AD254" s="1"/>
      <c r="AE254" s="1"/>
    </row>
    <row r="255" spans="1:31" x14ac:dyDescent="0.2">
      <c r="A255" s="9" t="s">
        <v>31</v>
      </c>
      <c r="B255" s="9"/>
      <c r="C255" s="10">
        <v>45933</v>
      </c>
      <c r="D255" s="9" t="s">
        <v>49</v>
      </c>
      <c r="E255" s="9"/>
      <c r="F255" s="11" t="s">
        <v>2413</v>
      </c>
      <c r="G255" s="9">
        <v>2016</v>
      </c>
      <c r="H255" s="9" t="s">
        <v>2414</v>
      </c>
      <c r="I255" s="9" t="s">
        <v>2082</v>
      </c>
      <c r="J255" s="9" t="s">
        <v>2415</v>
      </c>
      <c r="K255" s="9" t="s">
        <v>2416</v>
      </c>
      <c r="L255" s="9" t="s">
        <v>2417</v>
      </c>
      <c r="M255" s="9" t="s">
        <v>2418</v>
      </c>
      <c r="N255" s="12" t="str">
        <f>HYPERLINK("https://www.google.com/maps/search/?api=1&amp;query=100-35 207TH STREET, QUEENS VILLAGE, NY 11429", "OPEN MAP")</f>
        <v>OPEN MAP</v>
      </c>
      <c r="O255" s="9" t="s">
        <v>2419</v>
      </c>
      <c r="P255" s="9" t="s">
        <v>515</v>
      </c>
      <c r="Q255" s="9" t="s">
        <v>43</v>
      </c>
      <c r="R255" s="9">
        <v>11429</v>
      </c>
      <c r="S255" s="13" t="s">
        <v>2420</v>
      </c>
      <c r="T255" s="14"/>
      <c r="U255" s="15">
        <v>43901</v>
      </c>
      <c r="V255" s="15"/>
      <c r="W255" s="14"/>
      <c r="X255" s="15"/>
      <c r="Y255" s="14"/>
      <c r="Z255" s="9"/>
      <c r="AA255" s="9" t="s">
        <v>60</v>
      </c>
      <c r="AB255" s="9" t="s">
        <v>61</v>
      </c>
      <c r="AC255" s="9"/>
      <c r="AD255" s="9" t="s">
        <v>2421</v>
      </c>
      <c r="AE255" s="9"/>
    </row>
    <row r="256" spans="1:31" x14ac:dyDescent="0.2">
      <c r="A256" s="1" t="s">
        <v>31</v>
      </c>
      <c r="B256" s="1"/>
      <c r="C256" s="3">
        <v>45933</v>
      </c>
      <c r="D256" s="1" t="s">
        <v>49</v>
      </c>
      <c r="E256" s="1"/>
      <c r="F256" s="4" t="s">
        <v>2422</v>
      </c>
      <c r="G256" s="1">
        <v>2021</v>
      </c>
      <c r="H256" s="1" t="s">
        <v>2423</v>
      </c>
      <c r="I256" s="1" t="s">
        <v>233</v>
      </c>
      <c r="J256" s="1" t="s">
        <v>2424</v>
      </c>
      <c r="K256" s="1" t="s">
        <v>2424</v>
      </c>
      <c r="L256" s="1"/>
      <c r="M256" s="1" t="s">
        <v>2425</v>
      </c>
      <c r="N256" s="5" t="str">
        <f>HYPERLINK("https://www.google.com/maps/search/?api=1&amp;query=90-24 215th Street a/k/a 90-24 215 Street, Queens Village, NY 11428", "OPEN MAP")</f>
        <v>OPEN MAP</v>
      </c>
      <c r="O256" s="1" t="s">
        <v>2426</v>
      </c>
      <c r="P256" s="1" t="s">
        <v>178</v>
      </c>
      <c r="Q256" s="1" t="s">
        <v>43</v>
      </c>
      <c r="R256" s="1">
        <v>11428</v>
      </c>
      <c r="S256" s="6" t="s">
        <v>2427</v>
      </c>
      <c r="T256" s="7">
        <v>731339.16</v>
      </c>
      <c r="U256" s="8">
        <v>43894</v>
      </c>
      <c r="V256" s="8"/>
      <c r="W256" s="7"/>
      <c r="X256" s="8"/>
      <c r="Y256" s="7"/>
      <c r="Z256" s="1"/>
      <c r="AA256" s="1" t="s">
        <v>348</v>
      </c>
      <c r="AB256" s="1" t="s">
        <v>2428</v>
      </c>
      <c r="AC256" s="1"/>
      <c r="AD256" s="1" t="s">
        <v>338</v>
      </c>
      <c r="AE256" s="1"/>
    </row>
    <row r="257" spans="1:31" x14ac:dyDescent="0.2">
      <c r="A257" s="9" t="s">
        <v>31</v>
      </c>
      <c r="B257" s="9"/>
      <c r="C257" s="10">
        <v>45933</v>
      </c>
      <c r="D257" s="9" t="s">
        <v>49</v>
      </c>
      <c r="E257" s="9"/>
      <c r="F257" s="11" t="s">
        <v>2429</v>
      </c>
      <c r="G257" s="9">
        <v>2021</v>
      </c>
      <c r="H257" s="9" t="s">
        <v>2430</v>
      </c>
      <c r="I257" s="9" t="s">
        <v>233</v>
      </c>
      <c r="J257" s="9" t="s">
        <v>2431</v>
      </c>
      <c r="K257" s="9" t="s">
        <v>2431</v>
      </c>
      <c r="L257" s="9"/>
      <c r="M257" s="9" t="s">
        <v>2432</v>
      </c>
      <c r="N257" s="12" t="str">
        <f>HYPERLINK("https://www.google.com/maps/search/?api=1&amp;query=25-29 97TH ST, EAST ELMHURST, NY 11369-1603", "OPEN MAP")</f>
        <v>OPEN MAP</v>
      </c>
      <c r="O257" s="9" t="s">
        <v>2433</v>
      </c>
      <c r="P257" s="9" t="s">
        <v>58</v>
      </c>
      <c r="Q257" s="9" t="s">
        <v>43</v>
      </c>
      <c r="R257" s="9" t="s">
        <v>2434</v>
      </c>
      <c r="S257" s="13" t="s">
        <v>2435</v>
      </c>
      <c r="T257" s="14"/>
      <c r="U257" s="15">
        <v>43636</v>
      </c>
      <c r="V257" s="15"/>
      <c r="W257" s="14"/>
      <c r="X257" s="15"/>
      <c r="Y257" s="14"/>
      <c r="Z257" s="9"/>
      <c r="AA257" s="9" t="s">
        <v>60</v>
      </c>
      <c r="AB257" s="9" t="s">
        <v>61</v>
      </c>
      <c r="AC257" s="9"/>
      <c r="AD257" s="9" t="s">
        <v>338</v>
      </c>
      <c r="AE257" s="9"/>
    </row>
    <row r="258" spans="1:31" x14ac:dyDescent="0.2">
      <c r="A258" s="1" t="s">
        <v>31</v>
      </c>
      <c r="B258" s="1"/>
      <c r="C258" s="3">
        <v>45933</v>
      </c>
      <c r="D258" s="1" t="s">
        <v>49</v>
      </c>
      <c r="E258" s="1"/>
      <c r="F258" s="4" t="s">
        <v>2436</v>
      </c>
      <c r="G258" s="1">
        <v>2023</v>
      </c>
      <c r="H258" s="1" t="s">
        <v>2437</v>
      </c>
      <c r="I258" s="1" t="s">
        <v>233</v>
      </c>
      <c r="J258" s="1" t="s">
        <v>2438</v>
      </c>
      <c r="K258" s="1" t="s">
        <v>2439</v>
      </c>
      <c r="L258" s="1" t="s">
        <v>2440</v>
      </c>
      <c r="M258" s="1" t="s">
        <v>2441</v>
      </c>
      <c r="N258" s="5" t="str">
        <f>HYPERLINK("https://www.google.com/maps/search/?api=1&amp;query=111-40 212th Street, Queens Village, NY 11429", "OPEN MAP")</f>
        <v>OPEN MAP</v>
      </c>
      <c r="O258" s="1" t="s">
        <v>2442</v>
      </c>
      <c r="P258" s="1" t="s">
        <v>178</v>
      </c>
      <c r="Q258" s="1" t="s">
        <v>43</v>
      </c>
      <c r="R258" s="1">
        <v>11429</v>
      </c>
      <c r="S258" s="6" t="s">
        <v>2443</v>
      </c>
      <c r="T258" s="7">
        <v>409770.52</v>
      </c>
      <c r="U258" s="8">
        <v>45636</v>
      </c>
      <c r="V258" s="8"/>
      <c r="W258" s="7"/>
      <c r="X258" s="8"/>
      <c r="Y258" s="7"/>
      <c r="Z258" s="1"/>
      <c r="AA258" s="1" t="s">
        <v>91</v>
      </c>
      <c r="AB258" s="1" t="s">
        <v>92</v>
      </c>
      <c r="AC258" s="1"/>
      <c r="AD258" s="1" t="s">
        <v>1859</v>
      </c>
      <c r="AE258" s="1"/>
    </row>
    <row r="259" spans="1:31" x14ac:dyDescent="0.2">
      <c r="A259" s="9" t="s">
        <v>31</v>
      </c>
      <c r="B259" s="9"/>
      <c r="C259" s="10">
        <v>45933</v>
      </c>
      <c r="D259" s="9" t="s">
        <v>49</v>
      </c>
      <c r="E259" s="9"/>
      <c r="F259" s="11" t="s">
        <v>2444</v>
      </c>
      <c r="G259" s="9">
        <v>2021</v>
      </c>
      <c r="H259" s="9" t="s">
        <v>2445</v>
      </c>
      <c r="I259" s="9" t="s">
        <v>233</v>
      </c>
      <c r="J259" s="9" t="s">
        <v>2446</v>
      </c>
      <c r="K259" s="9" t="s">
        <v>2447</v>
      </c>
      <c r="L259" s="9" t="s">
        <v>2448</v>
      </c>
      <c r="M259" s="9" t="s">
        <v>2449</v>
      </c>
      <c r="N259" s="12" t="str">
        <f>HYPERLINK("https://www.google.com/maps/search/?api=1&amp;query=99-12 NORTHERN BOULEVARD, CORONA, NY 11368", "OPEN MAP")</f>
        <v>OPEN MAP</v>
      </c>
      <c r="O259" s="9" t="s">
        <v>2450</v>
      </c>
      <c r="P259" s="9" t="s">
        <v>1042</v>
      </c>
      <c r="Q259" s="9" t="s">
        <v>43</v>
      </c>
      <c r="R259" s="9">
        <v>11368</v>
      </c>
      <c r="S259" s="13" t="s">
        <v>2451</v>
      </c>
      <c r="T259" s="14"/>
      <c r="U259" s="15">
        <v>43885</v>
      </c>
      <c r="V259" s="15"/>
      <c r="W259" s="14"/>
      <c r="X259" s="15"/>
      <c r="Y259" s="14"/>
      <c r="Z259" s="9"/>
      <c r="AA259" s="9" t="s">
        <v>60</v>
      </c>
      <c r="AB259" s="9" t="s">
        <v>61</v>
      </c>
      <c r="AC259" s="9"/>
      <c r="AD259" s="9" t="s">
        <v>2452</v>
      </c>
      <c r="AE259" s="9"/>
    </row>
    <row r="260" spans="1:31" x14ac:dyDescent="0.2">
      <c r="A260" s="1" t="s">
        <v>31</v>
      </c>
      <c r="B260" s="1"/>
      <c r="C260" s="3">
        <v>45933</v>
      </c>
      <c r="D260" s="1" t="s">
        <v>49</v>
      </c>
      <c r="E260" s="1"/>
      <c r="F260" s="4" t="s">
        <v>2453</v>
      </c>
      <c r="G260" s="1">
        <v>2020</v>
      </c>
      <c r="H260" s="1" t="s">
        <v>2454</v>
      </c>
      <c r="I260" s="1" t="s">
        <v>2455</v>
      </c>
      <c r="J260" s="1" t="s">
        <v>2456</v>
      </c>
      <c r="K260" s="1" t="s">
        <v>2457</v>
      </c>
      <c r="L260" s="1" t="s">
        <v>2458</v>
      </c>
      <c r="M260" s="1" t="s">
        <v>2459</v>
      </c>
      <c r="N260" s="5" t="str">
        <f>HYPERLINK("https://www.google.com/maps/search/?api=1&amp;query=164-01 Goethals Ave, Queens, NY 11432", "OPEN MAP")</f>
        <v>OPEN MAP</v>
      </c>
      <c r="O260" s="1" t="s">
        <v>2460</v>
      </c>
      <c r="P260" s="1" t="s">
        <v>115</v>
      </c>
      <c r="Q260" s="1" t="s">
        <v>43</v>
      </c>
      <c r="R260" s="1">
        <v>11432</v>
      </c>
      <c r="S260" s="6" t="s">
        <v>2461</v>
      </c>
      <c r="T260" s="7">
        <v>1023429.68</v>
      </c>
      <c r="U260" s="8">
        <v>45023</v>
      </c>
      <c r="V260" s="8"/>
      <c r="W260" s="7"/>
      <c r="X260" s="8"/>
      <c r="Y260" s="7"/>
      <c r="Z260" s="1" t="s">
        <v>1149</v>
      </c>
      <c r="AA260" s="1" t="s">
        <v>1150</v>
      </c>
      <c r="AB260" s="1" t="s">
        <v>1151</v>
      </c>
      <c r="AC260" s="1" t="s">
        <v>1152</v>
      </c>
      <c r="AD260" s="1" t="s">
        <v>338</v>
      </c>
      <c r="AE260" s="1"/>
    </row>
    <row r="261" spans="1:31" x14ac:dyDescent="0.2">
      <c r="A261" s="9" t="s">
        <v>31</v>
      </c>
      <c r="B261" s="9"/>
      <c r="C261" s="10">
        <v>45933</v>
      </c>
      <c r="D261" s="9" t="s">
        <v>49</v>
      </c>
      <c r="E261" s="9"/>
      <c r="F261" s="11" t="s">
        <v>2462</v>
      </c>
      <c r="G261" s="9">
        <v>2011</v>
      </c>
      <c r="H261" s="9" t="s">
        <v>2463</v>
      </c>
      <c r="I261" s="9" t="s">
        <v>1089</v>
      </c>
      <c r="J261" s="9" t="s">
        <v>2464</v>
      </c>
      <c r="K261" s="9" t="s">
        <v>2465</v>
      </c>
      <c r="L261" s="9" t="s">
        <v>2466</v>
      </c>
      <c r="M261" s="9" t="s">
        <v>2467</v>
      </c>
      <c r="N261" s="12" t="str">
        <f>HYPERLINK("https://www.google.com/maps/search/?api=1&amp;query=9063 199th St, Hollis, New York 11423", "OPEN MAP")</f>
        <v>OPEN MAP</v>
      </c>
      <c r="O261" s="9" t="s">
        <v>2468</v>
      </c>
      <c r="P261" s="9" t="s">
        <v>627</v>
      </c>
      <c r="Q261" s="9" t="s">
        <v>251</v>
      </c>
      <c r="R261" s="9">
        <v>11423</v>
      </c>
      <c r="S261" s="13" t="s">
        <v>2469</v>
      </c>
      <c r="T261" s="14">
        <v>534672.91</v>
      </c>
      <c r="U261" s="15">
        <v>43320</v>
      </c>
      <c r="V261" s="15"/>
      <c r="W261" s="14"/>
      <c r="X261" s="15"/>
      <c r="Y261" s="14"/>
      <c r="Z261" s="9" t="s">
        <v>359</v>
      </c>
      <c r="AA261" s="9" t="s">
        <v>318</v>
      </c>
      <c r="AB261" s="9" t="s">
        <v>360</v>
      </c>
      <c r="AC261" s="9" t="s">
        <v>583</v>
      </c>
      <c r="AD261" s="9" t="s">
        <v>2470</v>
      </c>
      <c r="AE261" s="9"/>
    </row>
    <row r="262" spans="1:31" x14ac:dyDescent="0.2">
      <c r="A262" s="1" t="s">
        <v>115</v>
      </c>
      <c r="B262" s="1"/>
      <c r="C262" s="3">
        <v>45933</v>
      </c>
      <c r="D262" s="1" t="s">
        <v>49</v>
      </c>
      <c r="E262" s="1"/>
      <c r="F262" s="4" t="s">
        <v>2471</v>
      </c>
      <c r="G262" s="1">
        <v>2018</v>
      </c>
      <c r="H262" s="1" t="s">
        <v>2472</v>
      </c>
      <c r="I262" s="1" t="s">
        <v>233</v>
      </c>
      <c r="J262" s="1" t="s">
        <v>2473</v>
      </c>
      <c r="K262" s="1" t="s">
        <v>2474</v>
      </c>
      <c r="L262" s="1" t="s">
        <v>2475</v>
      </c>
      <c r="M262" s="1" t="s">
        <v>2476</v>
      </c>
      <c r="N262" s="5" t="str">
        <f>HYPERLINK("https://www.google.com/maps/search/?api=1&amp;query=12923 a/k/a 129-23 143rd Street, Jamaica, NY 11436", "OPEN MAP")</f>
        <v>OPEN MAP</v>
      </c>
      <c r="O262" s="1" t="s">
        <v>2477</v>
      </c>
      <c r="P262" s="1" t="s">
        <v>42</v>
      </c>
      <c r="Q262" s="1" t="s">
        <v>43</v>
      </c>
      <c r="R262" s="1">
        <v>11436</v>
      </c>
      <c r="S262" s="6" t="s">
        <v>2478</v>
      </c>
      <c r="T262" s="7">
        <v>659707.26</v>
      </c>
      <c r="U262" s="8">
        <v>44665</v>
      </c>
      <c r="V262" s="8"/>
      <c r="W262" s="7"/>
      <c r="X262" s="8"/>
      <c r="Y262" s="7"/>
      <c r="Z262" s="1"/>
      <c r="AA262" s="1" t="s">
        <v>126</v>
      </c>
      <c r="AB262" s="1" t="s">
        <v>199</v>
      </c>
      <c r="AC262" s="1" t="s">
        <v>128</v>
      </c>
      <c r="AD262" s="1" t="s">
        <v>2479</v>
      </c>
      <c r="AE262" s="1"/>
    </row>
    <row r="263" spans="1:31" x14ac:dyDescent="0.2">
      <c r="A263" s="9" t="s">
        <v>31</v>
      </c>
      <c r="B263" s="9"/>
      <c r="C263" s="10">
        <v>45933</v>
      </c>
      <c r="D263" s="9" t="s">
        <v>49</v>
      </c>
      <c r="E263" s="9"/>
      <c r="F263" s="11" t="s">
        <v>2480</v>
      </c>
      <c r="G263" s="9">
        <v>2023</v>
      </c>
      <c r="H263" s="9" t="s">
        <v>2481</v>
      </c>
      <c r="I263" s="9" t="s">
        <v>1504</v>
      </c>
      <c r="J263" s="9" t="s">
        <v>2482</v>
      </c>
      <c r="K263" s="9" t="s">
        <v>2483</v>
      </c>
      <c r="L263" s="9" t="s">
        <v>2484</v>
      </c>
      <c r="M263" s="9" t="s">
        <v>2485</v>
      </c>
      <c r="N263" s="12" t="str">
        <f>HYPERLINK("https://www.google.com/maps/search/?api=1&amp;query=5742 57th Drive, Maspeth, NY 11378", "OPEN MAP")</f>
        <v>OPEN MAP</v>
      </c>
      <c r="O263" s="9" t="s">
        <v>2486</v>
      </c>
      <c r="P263" s="9" t="s">
        <v>284</v>
      </c>
      <c r="Q263" s="9" t="s">
        <v>43</v>
      </c>
      <c r="R263" s="9">
        <v>11378</v>
      </c>
      <c r="S263" s="13" t="s">
        <v>2487</v>
      </c>
      <c r="T263" s="14"/>
      <c r="U263" s="15"/>
      <c r="V263" s="15">
        <v>40155</v>
      </c>
      <c r="W263" s="14">
        <v>600000</v>
      </c>
      <c r="X263" s="15"/>
      <c r="Y263" s="14"/>
      <c r="Z263" s="9" t="s">
        <v>619</v>
      </c>
      <c r="AA263" s="9" t="s">
        <v>91</v>
      </c>
      <c r="AB263" s="9" t="s">
        <v>518</v>
      </c>
      <c r="AC263" s="9" t="s">
        <v>519</v>
      </c>
      <c r="AD263" s="9"/>
      <c r="AE263" s="9"/>
    </row>
    <row r="264" spans="1:31" x14ac:dyDescent="0.2">
      <c r="A264" s="1" t="s">
        <v>31</v>
      </c>
      <c r="B264" s="1"/>
      <c r="C264" s="3">
        <v>45933</v>
      </c>
      <c r="D264" s="1" t="s">
        <v>49</v>
      </c>
      <c r="E264" s="1"/>
      <c r="F264" s="4" t="s">
        <v>2488</v>
      </c>
      <c r="G264" s="1">
        <v>2015</v>
      </c>
      <c r="H264" s="1" t="s">
        <v>2489</v>
      </c>
      <c r="I264" s="1" t="s">
        <v>2490</v>
      </c>
      <c r="J264" s="1" t="s">
        <v>2491</v>
      </c>
      <c r="K264" s="1" t="s">
        <v>2492</v>
      </c>
      <c r="L264" s="1" t="s">
        <v>2493</v>
      </c>
      <c r="M264" s="1" t="s">
        <v>2494</v>
      </c>
      <c r="N264" s="5" t="str">
        <f>HYPERLINK("https://www.google.com/maps/search/?api=1&amp;query=114-20 158th St, Jamaica, NY 11434", "OPEN MAP")</f>
        <v>OPEN MAP</v>
      </c>
      <c r="O264" s="1" t="s">
        <v>2495</v>
      </c>
      <c r="P264" s="1" t="s">
        <v>42</v>
      </c>
      <c r="Q264" s="1" t="s">
        <v>43</v>
      </c>
      <c r="R264" s="1">
        <v>11434</v>
      </c>
      <c r="S264" s="6" t="s">
        <v>2496</v>
      </c>
      <c r="T264" s="7"/>
      <c r="U264" s="8"/>
      <c r="V264" s="8">
        <v>39104</v>
      </c>
      <c r="W264" s="7">
        <v>450000</v>
      </c>
      <c r="X264" s="8"/>
      <c r="Y264" s="7"/>
      <c r="Z264" s="1" t="s">
        <v>2497</v>
      </c>
      <c r="AA264" s="1" t="s">
        <v>843</v>
      </c>
      <c r="AB264" s="1" t="s">
        <v>844</v>
      </c>
      <c r="AC264" s="1" t="s">
        <v>845</v>
      </c>
      <c r="AD264" s="1"/>
      <c r="AE264" s="1"/>
    </row>
    <row r="265" spans="1:31" x14ac:dyDescent="0.2">
      <c r="A265" s="9" t="s">
        <v>115</v>
      </c>
      <c r="B265" s="9"/>
      <c r="C265" s="10">
        <v>45933</v>
      </c>
      <c r="D265" s="9" t="s">
        <v>49</v>
      </c>
      <c r="E265" s="9"/>
      <c r="F265" s="11" t="s">
        <v>2498</v>
      </c>
      <c r="G265" s="9">
        <v>2009</v>
      </c>
      <c r="H265" s="9" t="s">
        <v>2499</v>
      </c>
      <c r="I265" s="9" t="s">
        <v>194</v>
      </c>
      <c r="J265" s="9" t="s">
        <v>2500</v>
      </c>
      <c r="K265" s="9" t="s">
        <v>2500</v>
      </c>
      <c r="L265" s="9"/>
      <c r="M265" s="9" t="s">
        <v>2501</v>
      </c>
      <c r="N265" s="12" t="str">
        <f>HYPERLINK("https://www.google.com/maps/search/?api=1&amp;query=109-16 176th St, St. Albans, NY 11433", "OPEN MAP")</f>
        <v>OPEN MAP</v>
      </c>
      <c r="O265" s="9" t="s">
        <v>2502</v>
      </c>
      <c r="P265" s="9" t="s">
        <v>828</v>
      </c>
      <c r="Q265" s="9" t="s">
        <v>43</v>
      </c>
      <c r="R265" s="9">
        <v>11433</v>
      </c>
      <c r="S265" s="13" t="s">
        <v>2503</v>
      </c>
      <c r="T265" s="14">
        <v>628388.65</v>
      </c>
      <c r="U265" s="15">
        <v>42724</v>
      </c>
      <c r="V265" s="15"/>
      <c r="W265" s="14"/>
      <c r="X265" s="15"/>
      <c r="Y265" s="14"/>
      <c r="Z265" s="9" t="s">
        <v>2504</v>
      </c>
      <c r="AA265" s="9" t="s">
        <v>126</v>
      </c>
      <c r="AB265" s="9" t="s">
        <v>199</v>
      </c>
      <c r="AC265" s="9" t="s">
        <v>128</v>
      </c>
      <c r="AD265" s="9" t="s">
        <v>2505</v>
      </c>
      <c r="AE265" s="9"/>
    </row>
    <row r="266" spans="1:31" x14ac:dyDescent="0.2">
      <c r="A266" s="1" t="s">
        <v>31</v>
      </c>
      <c r="B266" s="1"/>
      <c r="C266" s="3">
        <v>45933</v>
      </c>
      <c r="D266" s="1" t="s">
        <v>49</v>
      </c>
      <c r="E266" s="1"/>
      <c r="F266" s="4" t="s">
        <v>2506</v>
      </c>
      <c r="G266" s="1">
        <v>2020</v>
      </c>
      <c r="H266" s="1" t="s">
        <v>2507</v>
      </c>
      <c r="I266" s="1" t="s">
        <v>2508</v>
      </c>
      <c r="J266" s="1" t="s">
        <v>2509</v>
      </c>
      <c r="K266" s="1" t="s">
        <v>2510</v>
      </c>
      <c r="L266" s="1" t="s">
        <v>2511</v>
      </c>
      <c r="M266" s="1" t="s">
        <v>2512</v>
      </c>
      <c r="N266" s="5" t="str">
        <f>HYPERLINK("https://www.google.com/maps/search/?api=1&amp;query=221-53 Horace Harding Expressway, Oakland Gardens, New York 11364", "OPEN MAP")</f>
        <v>OPEN MAP</v>
      </c>
      <c r="O266" s="1" t="s">
        <v>2513</v>
      </c>
      <c r="P266" s="1" t="s">
        <v>1868</v>
      </c>
      <c r="Q266" s="1" t="s">
        <v>251</v>
      </c>
      <c r="R266" s="1">
        <v>11364</v>
      </c>
      <c r="S266" s="6" t="s">
        <v>2514</v>
      </c>
      <c r="T266" s="7"/>
      <c r="U266" s="8"/>
      <c r="V266" s="8">
        <v>38525</v>
      </c>
      <c r="W266" s="7">
        <v>600000</v>
      </c>
      <c r="X266" s="8"/>
      <c r="Y266" s="7"/>
      <c r="Z266" s="1" t="s">
        <v>2515</v>
      </c>
      <c r="AA266" s="1" t="s">
        <v>909</v>
      </c>
      <c r="AB266" s="1" t="s">
        <v>2516</v>
      </c>
      <c r="AC266" s="1" t="s">
        <v>2517</v>
      </c>
      <c r="AD266" s="1"/>
      <c r="AE266" s="1"/>
    </row>
    <row r="267" spans="1:31" x14ac:dyDescent="0.2">
      <c r="A267" s="9" t="s">
        <v>31</v>
      </c>
      <c r="B267" s="9"/>
      <c r="C267" s="10">
        <v>45933</v>
      </c>
      <c r="D267" s="9" t="s">
        <v>49</v>
      </c>
      <c r="E267" s="9"/>
      <c r="F267" s="11" t="s">
        <v>2518</v>
      </c>
      <c r="G267" s="9">
        <v>2013</v>
      </c>
      <c r="H267" s="9" t="s">
        <v>2519</v>
      </c>
      <c r="I267" s="9" t="s">
        <v>118</v>
      </c>
      <c r="J267" s="9" t="s">
        <v>2520</v>
      </c>
      <c r="K267" s="9" t="s">
        <v>2521</v>
      </c>
      <c r="L267" s="9" t="s">
        <v>2522</v>
      </c>
      <c r="M267" s="9" t="s">
        <v>2523</v>
      </c>
      <c r="N267" s="12" t="str">
        <f>HYPERLINK("https://www.google.com/maps/search/?api=1&amp;query=77-11 Rockaway Blvd, Woodhaven, NY 11421", "OPEN MAP")</f>
        <v>OPEN MAP</v>
      </c>
      <c r="O267" s="9" t="s">
        <v>2524</v>
      </c>
      <c r="P267" s="9" t="s">
        <v>149</v>
      </c>
      <c r="Q267" s="9" t="s">
        <v>43</v>
      </c>
      <c r="R267" s="9">
        <v>11421</v>
      </c>
      <c r="S267" s="13" t="s">
        <v>2525</v>
      </c>
      <c r="T267" s="14">
        <v>528318.19999999995</v>
      </c>
      <c r="U267" s="15">
        <v>43881</v>
      </c>
      <c r="V267" s="15"/>
      <c r="W267" s="14"/>
      <c r="X267" s="15"/>
      <c r="Y267" s="14"/>
      <c r="Z267" s="9"/>
      <c r="AA267" s="9" t="s">
        <v>708</v>
      </c>
      <c r="AB267" s="9" t="s">
        <v>709</v>
      </c>
      <c r="AC267" s="9"/>
      <c r="AD267" s="9" t="s">
        <v>499</v>
      </c>
      <c r="AE267" s="9"/>
    </row>
    <row r="268" spans="1:31" x14ac:dyDescent="0.2">
      <c r="A268" s="1" t="s">
        <v>31</v>
      </c>
      <c r="B268" s="1"/>
      <c r="C268" s="3">
        <v>45933</v>
      </c>
      <c r="D268" s="1" t="s">
        <v>49</v>
      </c>
      <c r="E268" s="1"/>
      <c r="F268" s="4" t="s">
        <v>2526</v>
      </c>
      <c r="G268" s="1">
        <v>2016</v>
      </c>
      <c r="H268" s="1" t="s">
        <v>2527</v>
      </c>
      <c r="I268" s="1" t="s">
        <v>2528</v>
      </c>
      <c r="J268" s="1" t="s">
        <v>2529</v>
      </c>
      <c r="K268" s="1" t="s">
        <v>2529</v>
      </c>
      <c r="L268" s="1"/>
      <c r="M268" s="1" t="s">
        <v>2530</v>
      </c>
      <c r="N268" s="5" t="str">
        <f>HYPERLINK("https://www.google.com/maps/search/?api=1&amp;query=9140 Winchester Boulevard, Queens Village, New York 11428", "OPEN MAP")</f>
        <v>OPEN MAP</v>
      </c>
      <c r="O268" s="1" t="s">
        <v>2531</v>
      </c>
      <c r="P268" s="1" t="s">
        <v>178</v>
      </c>
      <c r="Q268" s="1" t="s">
        <v>251</v>
      </c>
      <c r="R268" s="1">
        <v>11428</v>
      </c>
      <c r="S268" s="6" t="s">
        <v>2532</v>
      </c>
      <c r="T268" s="7">
        <v>443667.68</v>
      </c>
      <c r="U268" s="8">
        <v>44757</v>
      </c>
      <c r="V268" s="8"/>
      <c r="W268" s="7"/>
      <c r="X268" s="8"/>
      <c r="Y268" s="7"/>
      <c r="Z268" s="1" t="s">
        <v>2533</v>
      </c>
      <c r="AA268" s="1" t="s">
        <v>318</v>
      </c>
      <c r="AB268" s="1" t="s">
        <v>360</v>
      </c>
      <c r="AC268" s="1" t="s">
        <v>583</v>
      </c>
      <c r="AD268" s="1" t="s">
        <v>2534</v>
      </c>
      <c r="AE268" s="1"/>
    </row>
    <row r="269" spans="1:31" x14ac:dyDescent="0.2">
      <c r="A269" s="9" t="s">
        <v>31</v>
      </c>
      <c r="B269" s="9"/>
      <c r="C269" s="10">
        <v>45933</v>
      </c>
      <c r="D269" s="9" t="s">
        <v>32</v>
      </c>
      <c r="E269" s="9"/>
      <c r="F269" s="11" t="s">
        <v>2535</v>
      </c>
      <c r="G269" s="9">
        <v>2021</v>
      </c>
      <c r="H269" s="9" t="s">
        <v>2536</v>
      </c>
      <c r="I269" s="9" t="s">
        <v>2537</v>
      </c>
      <c r="J269" s="9" t="s">
        <v>2538</v>
      </c>
      <c r="K269" s="9" t="s">
        <v>2538</v>
      </c>
      <c r="L269" s="9"/>
      <c r="M269" s="9" t="s">
        <v>2539</v>
      </c>
      <c r="N269" s="12" t="str">
        <f>HYPERLINK("https://www.google.com/maps/search/?api=1&amp;query=145-40 Linden Boulevard, #2, Jamaica, NY 11326", "OPEN MAP")</f>
        <v>OPEN MAP</v>
      </c>
      <c r="O269" s="9" t="s">
        <v>2540</v>
      </c>
      <c r="P269" s="9" t="s">
        <v>42</v>
      </c>
      <c r="Q269" s="9" t="s">
        <v>43</v>
      </c>
      <c r="R269" s="9">
        <v>11326</v>
      </c>
      <c r="S269" s="13" t="s">
        <v>2541</v>
      </c>
      <c r="T269" s="14">
        <v>94912.43</v>
      </c>
      <c r="U269" s="15">
        <v>44950</v>
      </c>
      <c r="V269" s="15"/>
      <c r="W269" s="14"/>
      <c r="X269" s="15"/>
      <c r="Y269" s="14"/>
      <c r="Z269" s="9" t="s">
        <v>2534</v>
      </c>
      <c r="AA269" s="9" t="s">
        <v>2542</v>
      </c>
      <c r="AB269" s="9" t="s">
        <v>2543</v>
      </c>
      <c r="AC269" s="9"/>
      <c r="AD269" s="9" t="s">
        <v>2534</v>
      </c>
      <c r="AE269" s="9"/>
    </row>
    <row r="270" spans="1:31" x14ac:dyDescent="0.2">
      <c r="A270" s="1" t="s">
        <v>31</v>
      </c>
      <c r="B270" s="1"/>
      <c r="C270" s="3">
        <v>45933</v>
      </c>
      <c r="D270" s="1" t="s">
        <v>49</v>
      </c>
      <c r="E270" s="1"/>
      <c r="F270" s="4" t="s">
        <v>2544</v>
      </c>
      <c r="G270" s="1">
        <v>2023</v>
      </c>
      <c r="H270" s="1" t="s">
        <v>2545</v>
      </c>
      <c r="I270" s="1" t="s">
        <v>2546</v>
      </c>
      <c r="J270" s="1" t="s">
        <v>2547</v>
      </c>
      <c r="K270" s="1" t="s">
        <v>2548</v>
      </c>
      <c r="L270" s="1"/>
      <c r="M270" s="1" t="s">
        <v>2549</v>
      </c>
      <c r="N270" s="5" t="str">
        <f>HYPERLINK("https://www.google.com/maps/search/?api=1&amp;query=71-34 170th St., Flushing, NY 11365", "OPEN MAP")</f>
        <v>OPEN MAP</v>
      </c>
      <c r="O270" s="1" t="s">
        <v>2550</v>
      </c>
      <c r="P270" s="1" t="s">
        <v>69</v>
      </c>
      <c r="Q270" s="1" t="s">
        <v>43</v>
      </c>
      <c r="R270" s="1">
        <v>11365</v>
      </c>
      <c r="S270" s="6" t="s">
        <v>2551</v>
      </c>
      <c r="T270" s="7">
        <v>1010056.6</v>
      </c>
      <c r="U270" s="8">
        <v>45575</v>
      </c>
      <c r="V270" s="8"/>
      <c r="W270" s="7"/>
      <c r="X270" s="8"/>
      <c r="Y270" s="7"/>
      <c r="Z270" s="1"/>
      <c r="AA270" s="1" t="s">
        <v>2251</v>
      </c>
      <c r="AB270" s="1" t="s">
        <v>2252</v>
      </c>
      <c r="AC270" s="1" t="s">
        <v>2253</v>
      </c>
      <c r="AD270" s="1" t="s">
        <v>1561</v>
      </c>
      <c r="AE270" s="1"/>
    </row>
    <row r="271" spans="1:31" x14ac:dyDescent="0.2">
      <c r="A271" s="9" t="s">
        <v>31</v>
      </c>
      <c r="B271" s="9"/>
      <c r="C271" s="10">
        <v>45933</v>
      </c>
      <c r="D271" s="9" t="s">
        <v>49</v>
      </c>
      <c r="E271" s="9"/>
      <c r="F271" s="11" t="s">
        <v>2552</v>
      </c>
      <c r="G271" s="9">
        <v>2011</v>
      </c>
      <c r="H271" s="9" t="s">
        <v>2553</v>
      </c>
      <c r="I271" s="9" t="s">
        <v>2554</v>
      </c>
      <c r="J271" s="9" t="s">
        <v>2555</v>
      </c>
      <c r="K271" s="9" t="s">
        <v>2555</v>
      </c>
      <c r="L271" s="9"/>
      <c r="M271" s="9" t="s">
        <v>2556</v>
      </c>
      <c r="N271" s="12" t="str">
        <f>HYPERLINK("https://www.google.com/maps/search/?api=1&amp;query=67-30 Forest Avenue, Ridgewood, NY 11385", "OPEN MAP")</f>
        <v>OPEN MAP</v>
      </c>
      <c r="O271" s="9" t="s">
        <v>2557</v>
      </c>
      <c r="P271" s="9" t="s">
        <v>250</v>
      </c>
      <c r="Q271" s="9" t="s">
        <v>43</v>
      </c>
      <c r="R271" s="9">
        <v>11385</v>
      </c>
      <c r="S271" s="13" t="s">
        <v>2558</v>
      </c>
      <c r="T271" s="14">
        <v>730493.9</v>
      </c>
      <c r="U271" s="15">
        <v>45464</v>
      </c>
      <c r="V271" s="15"/>
      <c r="W271" s="14"/>
      <c r="X271" s="15"/>
      <c r="Y271" s="14"/>
      <c r="Z271" s="9"/>
      <c r="AA271" s="9" t="s">
        <v>91</v>
      </c>
      <c r="AB271" s="9" t="s">
        <v>92</v>
      </c>
      <c r="AC271" s="9"/>
      <c r="AD271" s="9" t="s">
        <v>2559</v>
      </c>
      <c r="AE271" s="9"/>
    </row>
    <row r="272" spans="1:31" x14ac:dyDescent="0.2">
      <c r="A272" s="1" t="s">
        <v>31</v>
      </c>
      <c r="B272" s="1"/>
      <c r="C272" s="3">
        <v>45933</v>
      </c>
      <c r="D272" s="1" t="s">
        <v>49</v>
      </c>
      <c r="E272" s="1"/>
      <c r="F272" s="4" t="s">
        <v>2560</v>
      </c>
      <c r="G272" s="1">
        <v>2019</v>
      </c>
      <c r="H272" s="1" t="s">
        <v>2561</v>
      </c>
      <c r="I272" s="1" t="s">
        <v>2562</v>
      </c>
      <c r="J272" s="1" t="s">
        <v>2563</v>
      </c>
      <c r="K272" s="1" t="s">
        <v>2563</v>
      </c>
      <c r="L272" s="1"/>
      <c r="M272" s="1" t="s">
        <v>2564</v>
      </c>
      <c r="N272" s="5" t="str">
        <f>HYPERLINK("https://www.google.com/maps/search/?api=1&amp;query=31-22 105th Street, East Elmhurst, NY 11369", "OPEN MAP")</f>
        <v>OPEN MAP</v>
      </c>
      <c r="O272" s="1" t="s">
        <v>2565</v>
      </c>
      <c r="P272" s="1" t="s">
        <v>559</v>
      </c>
      <c r="Q272" s="1" t="s">
        <v>43</v>
      </c>
      <c r="R272" s="1">
        <v>11369</v>
      </c>
      <c r="S272" s="6" t="s">
        <v>2566</v>
      </c>
      <c r="T272" s="7">
        <v>1034119.08</v>
      </c>
      <c r="U272" s="8">
        <v>45175</v>
      </c>
      <c r="V272" s="8"/>
      <c r="W272" s="7"/>
      <c r="X272" s="8"/>
      <c r="Y272" s="7"/>
      <c r="Z272" s="1"/>
      <c r="AA272" s="1" t="s">
        <v>1122</v>
      </c>
      <c r="AB272" s="1" t="s">
        <v>1123</v>
      </c>
      <c r="AC272" s="1"/>
      <c r="AD272" s="1" t="s">
        <v>310</v>
      </c>
      <c r="AE272" s="1"/>
    </row>
    <row r="273" spans="1:31" x14ac:dyDescent="0.2">
      <c r="A273" s="9" t="s">
        <v>31</v>
      </c>
      <c r="B273" s="9"/>
      <c r="C273" s="10">
        <v>45940</v>
      </c>
      <c r="D273" s="9" t="s">
        <v>49</v>
      </c>
      <c r="E273" s="9"/>
      <c r="F273" s="11" t="s">
        <v>2567</v>
      </c>
      <c r="G273" s="9">
        <v>2010</v>
      </c>
      <c r="H273" s="9" t="s">
        <v>2568</v>
      </c>
      <c r="I273" s="9" t="s">
        <v>2569</v>
      </c>
      <c r="J273" s="9" t="s">
        <v>2570</v>
      </c>
      <c r="K273" s="9" t="s">
        <v>2570</v>
      </c>
      <c r="L273" s="9"/>
      <c r="M273" s="9" t="s">
        <v>2571</v>
      </c>
      <c r="N273" s="12" t="str">
        <f>HYPERLINK("https://www.google.com/maps/search/?api=1&amp;query=150-12 27th Avenue, Flushing, NY 11354", "OPEN MAP")</f>
        <v>OPEN MAP</v>
      </c>
      <c r="O273" s="9" t="s">
        <v>2572</v>
      </c>
      <c r="P273" s="9" t="s">
        <v>69</v>
      </c>
      <c r="Q273" s="9" t="s">
        <v>43</v>
      </c>
      <c r="R273" s="9">
        <v>11354</v>
      </c>
      <c r="S273" s="13" t="s">
        <v>2573</v>
      </c>
      <c r="T273" s="14">
        <v>599084.36</v>
      </c>
      <c r="U273" s="15">
        <v>42689</v>
      </c>
      <c r="V273" s="15"/>
      <c r="W273" s="14"/>
      <c r="X273" s="15"/>
      <c r="Y273" s="14"/>
      <c r="Z273" s="9"/>
      <c r="AA273" s="9" t="s">
        <v>239</v>
      </c>
      <c r="AB273" s="9" t="s">
        <v>240</v>
      </c>
      <c r="AC273" s="9"/>
      <c r="AD273" s="9" t="s">
        <v>2574</v>
      </c>
      <c r="AE273" s="9"/>
    </row>
    <row r="274" spans="1:31" x14ac:dyDescent="0.2">
      <c r="A274" s="1" t="s">
        <v>31</v>
      </c>
      <c r="B274" s="1"/>
      <c r="C274" s="3">
        <v>45940</v>
      </c>
      <c r="D274" s="1" t="s">
        <v>49</v>
      </c>
      <c r="E274" s="1"/>
      <c r="F274" s="4" t="s">
        <v>2575</v>
      </c>
      <c r="G274" s="1">
        <v>2014</v>
      </c>
      <c r="H274" s="1" t="s">
        <v>2576</v>
      </c>
      <c r="I274" s="1" t="s">
        <v>1061</v>
      </c>
      <c r="J274" s="1" t="s">
        <v>2577</v>
      </c>
      <c r="K274" s="1" t="s">
        <v>2577</v>
      </c>
      <c r="L274" s="1"/>
      <c r="M274" s="1" t="s">
        <v>2578</v>
      </c>
      <c r="N274" s="5" t="str">
        <f>HYPERLINK("https://www.google.com/maps/search/?api=1&amp;query=1403 Mcbride Street, Far Rockaway, New York 11691", "OPEN MAP")</f>
        <v>OPEN MAP</v>
      </c>
      <c r="O274" s="1" t="s">
        <v>2579</v>
      </c>
      <c r="P274" s="1" t="s">
        <v>138</v>
      </c>
      <c r="Q274" s="1" t="s">
        <v>251</v>
      </c>
      <c r="R274" s="1">
        <v>11691</v>
      </c>
      <c r="S274" s="6">
        <v>-15656</v>
      </c>
      <c r="T274" s="7">
        <v>912128.99</v>
      </c>
      <c r="U274" s="8">
        <v>43718</v>
      </c>
      <c r="V274" s="8"/>
      <c r="W274" s="7"/>
      <c r="X274" s="8"/>
      <c r="Y274" s="7"/>
      <c r="Z274" s="1"/>
      <c r="AA274" s="1" t="s">
        <v>1779</v>
      </c>
      <c r="AB274" s="1" t="s">
        <v>1780</v>
      </c>
      <c r="AC274" s="1" t="s">
        <v>845</v>
      </c>
      <c r="AD274" s="1" t="s">
        <v>163</v>
      </c>
      <c r="AE274" s="1"/>
    </row>
    <row r="275" spans="1:31" x14ac:dyDescent="0.2">
      <c r="A275" s="9" t="s">
        <v>31</v>
      </c>
      <c r="B275" s="9"/>
      <c r="C275" s="10">
        <v>45940</v>
      </c>
      <c r="D275" s="9" t="s">
        <v>49</v>
      </c>
      <c r="E275" s="9"/>
      <c r="F275" s="11" t="s">
        <v>2580</v>
      </c>
      <c r="G275" s="9">
        <v>2021</v>
      </c>
      <c r="H275" s="9" t="s">
        <v>2581</v>
      </c>
      <c r="I275" s="9" t="s">
        <v>203</v>
      </c>
      <c r="J275" s="9" t="s">
        <v>2582</v>
      </c>
      <c r="K275" s="9" t="s">
        <v>2582</v>
      </c>
      <c r="L275" s="9"/>
      <c r="M275" s="9" t="s">
        <v>2583</v>
      </c>
      <c r="N275" s="12" t="str">
        <f>HYPERLINK("https://www.google.com/maps/search/?api=1&amp;query=132-09 135TH AVE, SOUTH OZONE PARK, NY 11420", "OPEN MAP")</f>
        <v>OPEN MAP</v>
      </c>
      <c r="O275" s="9" t="s">
        <v>2584</v>
      </c>
      <c r="P275" s="9" t="s">
        <v>207</v>
      </c>
      <c r="Q275" s="9" t="s">
        <v>43</v>
      </c>
      <c r="R275" s="9">
        <v>11420</v>
      </c>
      <c r="S275" s="13" t="s">
        <v>2585</v>
      </c>
      <c r="T275" s="14"/>
      <c r="U275" s="15">
        <v>45545</v>
      </c>
      <c r="V275" s="15"/>
      <c r="W275" s="14"/>
      <c r="X275" s="15"/>
      <c r="Y275" s="14"/>
      <c r="Z275" s="9"/>
      <c r="AA275" s="9" t="s">
        <v>60</v>
      </c>
      <c r="AB275" s="9" t="s">
        <v>61</v>
      </c>
      <c r="AC275" s="9"/>
      <c r="AD275" s="9" t="s">
        <v>1358</v>
      </c>
      <c r="AE275" s="9"/>
    </row>
    <row r="276" spans="1:31" x14ac:dyDescent="0.2">
      <c r="A276" s="1" t="s">
        <v>115</v>
      </c>
      <c r="B276" s="1"/>
      <c r="C276" s="3">
        <v>45940</v>
      </c>
      <c r="D276" s="1" t="s">
        <v>49</v>
      </c>
      <c r="E276" s="1"/>
      <c r="F276" s="4" t="s">
        <v>2586</v>
      </c>
      <c r="G276" s="1">
        <v>2018</v>
      </c>
      <c r="H276" s="1" t="s">
        <v>2587</v>
      </c>
      <c r="I276" s="1" t="s">
        <v>1089</v>
      </c>
      <c r="J276" s="1" t="s">
        <v>2588</v>
      </c>
      <c r="K276" s="1" t="s">
        <v>2588</v>
      </c>
      <c r="L276" s="1"/>
      <c r="M276" s="1" t="s">
        <v>2589</v>
      </c>
      <c r="N276" s="5" t="str">
        <f>HYPERLINK("https://www.google.com/maps/search/?api=1&amp;query=1056 Beach 22nd St., Far Rockaway, NY 11691", "OPEN MAP")</f>
        <v>OPEN MAP</v>
      </c>
      <c r="O276" s="1" t="s">
        <v>2590</v>
      </c>
      <c r="P276" s="1" t="s">
        <v>138</v>
      </c>
      <c r="Q276" s="1" t="s">
        <v>43</v>
      </c>
      <c r="R276" s="1">
        <v>11691</v>
      </c>
      <c r="S276" s="6" t="s">
        <v>2591</v>
      </c>
      <c r="T276" s="7">
        <v>611375.48</v>
      </c>
      <c r="U276" s="8">
        <v>45469</v>
      </c>
      <c r="V276" s="8"/>
      <c r="W276" s="7"/>
      <c r="X276" s="8"/>
      <c r="Y276" s="7"/>
      <c r="Z276" s="1"/>
      <c r="AA276" s="1" t="s">
        <v>1779</v>
      </c>
      <c r="AB276" s="1" t="s">
        <v>1780</v>
      </c>
      <c r="AC276" s="1" t="s">
        <v>845</v>
      </c>
      <c r="AD276" s="1" t="s">
        <v>2592</v>
      </c>
      <c r="AE276" s="1"/>
    </row>
    <row r="277" spans="1:31" x14ac:dyDescent="0.2">
      <c r="A277" s="9" t="s">
        <v>31</v>
      </c>
      <c r="B277" s="9"/>
      <c r="C277" s="10">
        <v>45940</v>
      </c>
      <c r="D277" s="9" t="s">
        <v>49</v>
      </c>
      <c r="E277" s="9"/>
      <c r="F277" s="11" t="s">
        <v>2593</v>
      </c>
      <c r="G277" s="9">
        <v>2021</v>
      </c>
      <c r="H277" s="9" t="s">
        <v>2594</v>
      </c>
      <c r="I277" s="9" t="s">
        <v>279</v>
      </c>
      <c r="J277" s="9" t="s">
        <v>2595</v>
      </c>
      <c r="K277" s="9" t="s">
        <v>2595</v>
      </c>
      <c r="L277" s="9" t="s">
        <v>2596</v>
      </c>
      <c r="M277" s="9" t="s">
        <v>2597</v>
      </c>
      <c r="N277" s="12" t="str">
        <f>HYPERLINK("https://www.google.com/maps/search/?api=1&amp;query=148th Street, Flushing, NY 11355", "OPEN MAP")</f>
        <v>OPEN MAP</v>
      </c>
      <c r="O277" s="9" t="s">
        <v>2598</v>
      </c>
      <c r="P277" s="9" t="s">
        <v>69</v>
      </c>
      <c r="Q277" s="9" t="s">
        <v>43</v>
      </c>
      <c r="R277" s="9">
        <v>11355</v>
      </c>
      <c r="S277" s="13" t="s">
        <v>2599</v>
      </c>
      <c r="T277" s="14"/>
      <c r="U277" s="15"/>
      <c r="V277" s="15"/>
      <c r="W277" s="14"/>
      <c r="X277" s="15"/>
      <c r="Y277" s="14"/>
      <c r="Z277" s="9" t="s">
        <v>1427</v>
      </c>
      <c r="AA277" s="9" t="s">
        <v>1428</v>
      </c>
      <c r="AB277" s="9" t="s">
        <v>1429</v>
      </c>
      <c r="AC277" s="9" t="s">
        <v>1672</v>
      </c>
      <c r="AD277" s="9"/>
      <c r="AE277" s="9"/>
    </row>
    <row r="278" spans="1:31" x14ac:dyDescent="0.2">
      <c r="A278" s="1" t="s">
        <v>31</v>
      </c>
      <c r="B278" s="1"/>
      <c r="C278" s="3">
        <v>45940</v>
      </c>
      <c r="D278" s="1" t="s">
        <v>49</v>
      </c>
      <c r="E278" s="1" t="s">
        <v>33</v>
      </c>
      <c r="F278" s="4" t="s">
        <v>2600</v>
      </c>
      <c r="G278" s="1">
        <v>2024</v>
      </c>
      <c r="H278" s="1" t="s">
        <v>2601</v>
      </c>
      <c r="I278" s="1" t="s">
        <v>1909</v>
      </c>
      <c r="J278" s="1" t="s">
        <v>2602</v>
      </c>
      <c r="K278" s="1" t="s">
        <v>2603</v>
      </c>
      <c r="L278" s="1" t="s">
        <v>2604</v>
      </c>
      <c r="M278" s="1" t="s">
        <v>2605</v>
      </c>
      <c r="N278" s="5" t="str">
        <f>HYPERLINK("https://www.google.com/maps/search/?api=1&amp;query=101-51 102nd Street, Ozone Park, NY 11416", "OPEN MAP")</f>
        <v>OPEN MAP</v>
      </c>
      <c r="O278" s="1" t="s">
        <v>2606</v>
      </c>
      <c r="P278" s="1" t="s">
        <v>263</v>
      </c>
      <c r="Q278" s="1" t="s">
        <v>43</v>
      </c>
      <c r="R278" s="1">
        <v>11416</v>
      </c>
      <c r="S278" s="6" t="s">
        <v>2607</v>
      </c>
      <c r="T278" s="7"/>
      <c r="U278" s="8"/>
      <c r="V278" s="8">
        <v>37007</v>
      </c>
      <c r="W278" s="7">
        <v>375550</v>
      </c>
      <c r="X278" s="8">
        <v>41576</v>
      </c>
      <c r="Y278" s="7">
        <v>589680.96</v>
      </c>
      <c r="Z278" s="1" t="s">
        <v>2608</v>
      </c>
      <c r="AA278" s="1" t="s">
        <v>1345</v>
      </c>
      <c r="AB278" s="1" t="s">
        <v>1346</v>
      </c>
      <c r="AC278" s="1" t="s">
        <v>1347</v>
      </c>
      <c r="AD278" s="1"/>
      <c r="AE278" s="1"/>
    </row>
    <row r="279" spans="1:31" x14ac:dyDescent="0.2">
      <c r="A279" s="9" t="s">
        <v>115</v>
      </c>
      <c r="B279" s="9"/>
      <c r="C279" s="10">
        <v>45940</v>
      </c>
      <c r="D279" s="9" t="s">
        <v>49</v>
      </c>
      <c r="E279" s="9"/>
      <c r="F279" s="11" t="s">
        <v>2609</v>
      </c>
      <c r="G279" s="9">
        <v>2017</v>
      </c>
      <c r="H279" s="9" t="s">
        <v>2610</v>
      </c>
      <c r="I279" s="9" t="s">
        <v>2611</v>
      </c>
      <c r="J279" s="9" t="s">
        <v>2612</v>
      </c>
      <c r="K279" s="9" t="s">
        <v>2613</v>
      </c>
      <c r="L279" s="9" t="s">
        <v>2614</v>
      </c>
      <c r="M279" s="9" t="s">
        <v>2615</v>
      </c>
      <c r="N279" s="12" t="str">
        <f>HYPERLINK("https://www.google.com/maps/search/?api=1&amp;query=150-35 120th Avenue, Jamaica, NY 11434", "OPEN MAP")</f>
        <v>OPEN MAP</v>
      </c>
      <c r="O279" s="9" t="s">
        <v>2616</v>
      </c>
      <c r="P279" s="9" t="s">
        <v>42</v>
      </c>
      <c r="Q279" s="9" t="s">
        <v>43</v>
      </c>
      <c r="R279" s="9">
        <v>11434</v>
      </c>
      <c r="S279" s="13" t="s">
        <v>2617</v>
      </c>
      <c r="T279" s="14" t="s">
        <v>2618</v>
      </c>
      <c r="U279" s="15">
        <v>45819</v>
      </c>
      <c r="V279" s="15"/>
      <c r="W279" s="14"/>
      <c r="X279" s="15"/>
      <c r="Y279" s="14"/>
      <c r="Z279" s="9" t="s">
        <v>2619</v>
      </c>
      <c r="AA279" s="9" t="s">
        <v>2620</v>
      </c>
      <c r="AB279" s="9" t="s">
        <v>2156</v>
      </c>
      <c r="AC279" s="9" t="s">
        <v>2621</v>
      </c>
      <c r="AD279" s="9" t="s">
        <v>1662</v>
      </c>
      <c r="AE279" s="9"/>
    </row>
    <row r="280" spans="1:31" x14ac:dyDescent="0.2">
      <c r="A280" s="1" t="s">
        <v>31</v>
      </c>
      <c r="B280" s="1"/>
      <c r="C280" s="3">
        <v>45940</v>
      </c>
      <c r="D280" s="1" t="s">
        <v>49</v>
      </c>
      <c r="E280" s="1"/>
      <c r="F280" s="4" t="s">
        <v>2622</v>
      </c>
      <c r="G280" s="1">
        <v>2011</v>
      </c>
      <c r="H280" s="1" t="s">
        <v>2623</v>
      </c>
      <c r="I280" s="1" t="s">
        <v>132</v>
      </c>
      <c r="J280" s="1" t="s">
        <v>2624</v>
      </c>
      <c r="K280" s="1" t="s">
        <v>2624</v>
      </c>
      <c r="L280" s="1"/>
      <c r="M280" s="1" t="s">
        <v>2625</v>
      </c>
      <c r="N280" s="5" t="str">
        <f>HYPERLINK("https://www.google.com/maps/search/?api=1&amp;query=187-19 Pineville Lane, Springfield Gardens, NY 11413", "OPEN MAP")</f>
        <v>OPEN MAP</v>
      </c>
      <c r="O280" s="1" t="s">
        <v>2626</v>
      </c>
      <c r="P280" s="1" t="s">
        <v>89</v>
      </c>
      <c r="Q280" s="1" t="s">
        <v>43</v>
      </c>
      <c r="R280" s="1">
        <v>11413</v>
      </c>
      <c r="S280" s="6" t="s">
        <v>2627</v>
      </c>
      <c r="T280" s="7">
        <v>545247.89</v>
      </c>
      <c r="U280" s="8">
        <v>43558</v>
      </c>
      <c r="V280" s="8"/>
      <c r="W280" s="7"/>
      <c r="X280" s="8"/>
      <c r="Y280" s="7"/>
      <c r="Z280" s="1"/>
      <c r="AA280" s="1" t="s">
        <v>45</v>
      </c>
      <c r="AB280" s="1" t="s">
        <v>46</v>
      </c>
      <c r="AC280" s="1" t="s">
        <v>47</v>
      </c>
      <c r="AD280" s="1" t="s">
        <v>2628</v>
      </c>
      <c r="AE280" s="1"/>
    </row>
    <row r="281" spans="1:31" x14ac:dyDescent="0.2">
      <c r="A281" s="9" t="s">
        <v>115</v>
      </c>
      <c r="B281" s="9"/>
      <c r="C281" s="10">
        <v>45940</v>
      </c>
      <c r="D281" s="9" t="s">
        <v>49</v>
      </c>
      <c r="E281" s="9"/>
      <c r="F281" s="11" t="s">
        <v>2629</v>
      </c>
      <c r="G281" s="9">
        <v>2019</v>
      </c>
      <c r="H281" s="9" t="s">
        <v>2630</v>
      </c>
      <c r="I281" s="9" t="s">
        <v>105</v>
      </c>
      <c r="J281" s="9" t="s">
        <v>2631</v>
      </c>
      <c r="K281" s="9" t="s">
        <v>2631</v>
      </c>
      <c r="L281" s="9"/>
      <c r="M281" s="9" t="s">
        <v>2632</v>
      </c>
      <c r="N281" s="12" t="str">
        <f>HYPERLINK("https://www.google.com/maps/search/?api=1&amp;query=22-60 79 Street, Unit 2C, East Elmhurst, NY 11370", "OPEN MAP")</f>
        <v>OPEN MAP</v>
      </c>
      <c r="O281" s="9" t="s">
        <v>2633</v>
      </c>
      <c r="P281" s="9" t="s">
        <v>559</v>
      </c>
      <c r="Q281" s="9" t="s">
        <v>43</v>
      </c>
      <c r="R281" s="9">
        <v>11370</v>
      </c>
      <c r="S281" s="13" t="s">
        <v>2634</v>
      </c>
      <c r="T281" s="14"/>
      <c r="U281" s="15"/>
      <c r="V281" s="15">
        <v>38607</v>
      </c>
      <c r="W281" s="14">
        <v>50000</v>
      </c>
      <c r="X281" s="15"/>
      <c r="Y281" s="14"/>
      <c r="Z281" s="9" t="s">
        <v>2635</v>
      </c>
      <c r="AA281" s="9" t="s">
        <v>113</v>
      </c>
      <c r="AB281" s="9" t="s">
        <v>46</v>
      </c>
      <c r="AC281" s="9" t="s">
        <v>1808</v>
      </c>
      <c r="AD281" s="9"/>
      <c r="AE281" s="9"/>
    </row>
    <row r="282" spans="1:31" x14ac:dyDescent="0.2">
      <c r="A282" s="1" t="s">
        <v>31</v>
      </c>
      <c r="B282" s="1"/>
      <c r="C282" s="3">
        <v>45940</v>
      </c>
      <c r="D282" s="1" t="s">
        <v>49</v>
      </c>
      <c r="E282" s="1"/>
      <c r="F282" s="4" t="s">
        <v>2636</v>
      </c>
      <c r="G282" s="1">
        <v>2020</v>
      </c>
      <c r="H282" s="1" t="s">
        <v>2637</v>
      </c>
      <c r="I282" s="1" t="s">
        <v>2638</v>
      </c>
      <c r="J282" s="1" t="s">
        <v>2639</v>
      </c>
      <c r="K282" s="1" t="s">
        <v>2640</v>
      </c>
      <c r="L282" s="1" t="s">
        <v>2641</v>
      </c>
      <c r="M282" s="1" t="s">
        <v>2642</v>
      </c>
      <c r="N282" s="5" t="str">
        <f>HYPERLINK("https://www.google.com/maps/search/?api=1&amp;query=144 -04 70TH ROAD, FLUSHING, NEW YORK 11367", "OPEN MAP")</f>
        <v>OPEN MAP</v>
      </c>
      <c r="O282" s="1" t="s">
        <v>2643</v>
      </c>
      <c r="P282" s="1" t="s">
        <v>568</v>
      </c>
      <c r="Q282" s="1" t="s">
        <v>765</v>
      </c>
      <c r="R282" s="1">
        <v>11367</v>
      </c>
      <c r="S282" s="6" t="s">
        <v>2644</v>
      </c>
      <c r="T282" s="7"/>
      <c r="U282" s="8"/>
      <c r="V282" s="8">
        <v>38419</v>
      </c>
      <c r="W282" s="7">
        <v>368000</v>
      </c>
      <c r="X282" s="8">
        <v>41764</v>
      </c>
      <c r="Y282" s="7"/>
      <c r="Z282" s="1" t="s">
        <v>2645</v>
      </c>
      <c r="AA282" s="1" t="s">
        <v>2646</v>
      </c>
      <c r="AB282" s="1" t="s">
        <v>768</v>
      </c>
      <c r="AC282" s="1" t="s">
        <v>769</v>
      </c>
      <c r="AD282" s="1"/>
      <c r="AE282" s="1"/>
    </row>
    <row r="283" spans="1:31" x14ac:dyDescent="0.2">
      <c r="A283" s="9" t="s">
        <v>31</v>
      </c>
      <c r="B283" s="9"/>
      <c r="C283" s="10">
        <v>45940</v>
      </c>
      <c r="D283" s="9" t="s">
        <v>49</v>
      </c>
      <c r="E283" s="9"/>
      <c r="F283" s="11" t="s">
        <v>2647</v>
      </c>
      <c r="G283" s="9">
        <v>2007</v>
      </c>
      <c r="H283" s="9" t="s">
        <v>2648</v>
      </c>
      <c r="I283" s="9" t="s">
        <v>2649</v>
      </c>
      <c r="J283" s="9" t="s">
        <v>2650</v>
      </c>
      <c r="K283" s="9" t="s">
        <v>2650</v>
      </c>
      <c r="L283" s="9" t="s">
        <v>2651</v>
      </c>
      <c r="M283" s="9" t="s">
        <v>2652</v>
      </c>
      <c r="N283" s="12" t="str">
        <f>HYPERLINK("https://www.google.com/maps/search/?api=1&amp;query=13503 220Th Place, Laurelton, NY 11413", "OPEN MAP")</f>
        <v>OPEN MAP</v>
      </c>
      <c r="O283" s="9" t="s">
        <v>2653</v>
      </c>
      <c r="P283" s="9" t="s">
        <v>1033</v>
      </c>
      <c r="Q283" s="9" t="s">
        <v>43</v>
      </c>
      <c r="R283" s="9">
        <v>11413</v>
      </c>
      <c r="S283" s="13" t="s">
        <v>2654</v>
      </c>
      <c r="T283" s="14">
        <v>697496.46</v>
      </c>
      <c r="U283" s="15">
        <v>39528</v>
      </c>
      <c r="V283" s="15"/>
      <c r="W283" s="14"/>
      <c r="X283" s="15"/>
      <c r="Y283" s="14"/>
      <c r="Z283" s="9" t="s">
        <v>359</v>
      </c>
      <c r="AA283" s="9" t="s">
        <v>318</v>
      </c>
      <c r="AB283" s="9" t="s">
        <v>360</v>
      </c>
      <c r="AC283" s="9" t="s">
        <v>361</v>
      </c>
      <c r="AD283" s="9" t="s">
        <v>2655</v>
      </c>
      <c r="AE283" s="9" t="s">
        <v>2656</v>
      </c>
    </row>
    <row r="284" spans="1:31" x14ac:dyDescent="0.2">
      <c r="A284" s="1" t="s">
        <v>31</v>
      </c>
      <c r="B284" s="1"/>
      <c r="C284" s="3">
        <v>45940</v>
      </c>
      <c r="D284" s="1" t="s">
        <v>49</v>
      </c>
      <c r="E284" s="1"/>
      <c r="F284" s="4" t="s">
        <v>2657</v>
      </c>
      <c r="G284" s="1">
        <v>2022</v>
      </c>
      <c r="H284" s="1" t="s">
        <v>2658</v>
      </c>
      <c r="I284" s="1" t="s">
        <v>2659</v>
      </c>
      <c r="J284" s="1" t="s">
        <v>2660</v>
      </c>
      <c r="K284" s="1" t="s">
        <v>2660</v>
      </c>
      <c r="L284" s="1"/>
      <c r="M284" s="1" t="s">
        <v>2661</v>
      </c>
      <c r="N284" s="5" t="str">
        <f>HYPERLINK("https://www.google.com/maps/search/?api=1&amp;query=131-11 95th Avenue, S. Richmond Hill, NY 11419", "OPEN MAP")</f>
        <v>OPEN MAP</v>
      </c>
      <c r="O284" s="1" t="s">
        <v>2662</v>
      </c>
      <c r="P284" s="1" t="s">
        <v>2663</v>
      </c>
      <c r="Q284" s="1" t="s">
        <v>43</v>
      </c>
      <c r="R284" s="1">
        <v>11419</v>
      </c>
      <c r="S284" s="6" t="s">
        <v>2664</v>
      </c>
      <c r="T284" s="7"/>
      <c r="U284" s="8"/>
      <c r="V284" s="8">
        <v>41830</v>
      </c>
      <c r="W284" s="7">
        <v>810000</v>
      </c>
      <c r="X284" s="8"/>
      <c r="Y284" s="7"/>
      <c r="Z284" s="1" t="s">
        <v>867</v>
      </c>
      <c r="AA284" s="1" t="s">
        <v>2665</v>
      </c>
      <c r="AB284" s="1" t="s">
        <v>2666</v>
      </c>
      <c r="AC284" s="1" t="s">
        <v>870</v>
      </c>
      <c r="AD284" s="1"/>
      <c r="AE284" s="1"/>
    </row>
    <row r="285" spans="1:31" x14ac:dyDescent="0.2">
      <c r="A285" s="9" t="s">
        <v>115</v>
      </c>
      <c r="B285" s="9"/>
      <c r="C285" s="10">
        <v>45940</v>
      </c>
      <c r="D285" s="9" t="s">
        <v>49</v>
      </c>
      <c r="E285" s="9"/>
      <c r="F285" s="11" t="s">
        <v>2667</v>
      </c>
      <c r="G285" s="9">
        <v>2020</v>
      </c>
      <c r="H285" s="9" t="s">
        <v>2668</v>
      </c>
      <c r="I285" s="9" t="s">
        <v>194</v>
      </c>
      <c r="J285" s="9" t="s">
        <v>2669</v>
      </c>
      <c r="K285" s="9" t="s">
        <v>2669</v>
      </c>
      <c r="L285" s="9" t="s">
        <v>2670</v>
      </c>
      <c r="M285" s="9" t="s">
        <v>2671</v>
      </c>
      <c r="N285" s="12" t="str">
        <f>HYPERLINK("https://www.google.com/maps/search/?api=1&amp;query=91-03 95TH STREET, WOODHAVEN, NY 11421", "OPEN MAP")</f>
        <v>OPEN MAP</v>
      </c>
      <c r="O285" s="9" t="s">
        <v>2672</v>
      </c>
      <c r="P285" s="9" t="s">
        <v>100</v>
      </c>
      <c r="Q285" s="9" t="s">
        <v>43</v>
      </c>
      <c r="R285" s="9">
        <v>11421</v>
      </c>
      <c r="S285" s="13" t="s">
        <v>2673</v>
      </c>
      <c r="T285" s="14"/>
      <c r="U285" s="15"/>
      <c r="V285" s="15">
        <v>39295</v>
      </c>
      <c r="W285" s="14">
        <v>361000</v>
      </c>
      <c r="X285" s="15">
        <v>43411</v>
      </c>
      <c r="Y285" s="14">
        <v>341000</v>
      </c>
      <c r="Z285" s="9" t="s">
        <v>1850</v>
      </c>
      <c r="AA285" s="9" t="s">
        <v>91</v>
      </c>
      <c r="AB285" s="9" t="s">
        <v>518</v>
      </c>
      <c r="AC285" s="9" t="s">
        <v>2288</v>
      </c>
      <c r="AD285" s="9"/>
      <c r="AE285" s="9"/>
    </row>
    <row r="286" spans="1:31" x14ac:dyDescent="0.2">
      <c r="A286" s="1" t="s">
        <v>31</v>
      </c>
      <c r="B286" s="1"/>
      <c r="C286" s="3">
        <v>45940</v>
      </c>
      <c r="D286" s="1" t="s">
        <v>49</v>
      </c>
      <c r="E286" s="1"/>
      <c r="F286" s="4" t="s">
        <v>2674</v>
      </c>
      <c r="G286" s="1">
        <v>2014</v>
      </c>
      <c r="H286" s="1" t="s">
        <v>2675</v>
      </c>
      <c r="I286" s="1" t="s">
        <v>2676</v>
      </c>
      <c r="J286" s="1" t="s">
        <v>2677</v>
      </c>
      <c r="K286" s="1" t="s">
        <v>2677</v>
      </c>
      <c r="L286" s="1"/>
      <c r="M286" s="1" t="s">
        <v>2678</v>
      </c>
      <c r="N286" s="5" t="str">
        <f>HYPERLINK("https://www.google.com/maps/search/?api=1&amp;query=259-36 147th Road, Rosedale, NY 11422", "OPEN MAP")</f>
        <v>OPEN MAP</v>
      </c>
      <c r="O286" s="1" t="s">
        <v>2679</v>
      </c>
      <c r="P286" s="1" t="s">
        <v>851</v>
      </c>
      <c r="Q286" s="1" t="s">
        <v>43</v>
      </c>
      <c r="R286" s="1">
        <v>11422</v>
      </c>
      <c r="S286" s="6" t="s">
        <v>2680</v>
      </c>
      <c r="T286" s="7">
        <v>1210958.78</v>
      </c>
      <c r="U286" s="8">
        <v>45401</v>
      </c>
      <c r="V286" s="8"/>
      <c r="W286" s="7"/>
      <c r="X286" s="8"/>
      <c r="Y286" s="7"/>
      <c r="Z286" s="1"/>
      <c r="AA286" s="1" t="s">
        <v>348</v>
      </c>
      <c r="AB286" s="1" t="s">
        <v>349</v>
      </c>
      <c r="AC286" s="1"/>
      <c r="AD286" s="1" t="s">
        <v>1133</v>
      </c>
      <c r="AE286" s="1"/>
    </row>
    <row r="287" spans="1:31" x14ac:dyDescent="0.2">
      <c r="A287" s="9" t="s">
        <v>31</v>
      </c>
      <c r="B287" s="9"/>
      <c r="C287" s="10">
        <v>45940</v>
      </c>
      <c r="D287" s="9" t="s">
        <v>49</v>
      </c>
      <c r="E287" s="9"/>
      <c r="F287" s="11" t="s">
        <v>2681</v>
      </c>
      <c r="G287" s="9">
        <v>2019</v>
      </c>
      <c r="H287" s="9" t="s">
        <v>2682</v>
      </c>
      <c r="I287" s="9" t="s">
        <v>233</v>
      </c>
      <c r="J287" s="9" t="s">
        <v>2683</v>
      </c>
      <c r="K287" s="9" t="s">
        <v>2683</v>
      </c>
      <c r="L287" s="9"/>
      <c r="M287" s="9" t="s">
        <v>2684</v>
      </c>
      <c r="N287" s="12" t="str">
        <f>HYPERLINK("https://www.google.com/maps/search/?api=1&amp;query=32-47 78th Street, Jackson Heights, NY 11370", "OPEN MAP")</f>
        <v>OPEN MAP</v>
      </c>
      <c r="O287" s="9" t="s">
        <v>2685</v>
      </c>
      <c r="P287" s="9" t="s">
        <v>1550</v>
      </c>
      <c r="Q287" s="9" t="s">
        <v>43</v>
      </c>
      <c r="R287" s="9">
        <v>11370</v>
      </c>
      <c r="S287" s="13" t="s">
        <v>2686</v>
      </c>
      <c r="T287" s="14">
        <v>845574.7</v>
      </c>
      <c r="U287" s="15">
        <v>45580</v>
      </c>
      <c r="V287" s="15"/>
      <c r="W287" s="14"/>
      <c r="X287" s="15"/>
      <c r="Y287" s="14"/>
      <c r="Z287" s="9"/>
      <c r="AA287" s="9" t="s">
        <v>1779</v>
      </c>
      <c r="AB287" s="9" t="s">
        <v>1780</v>
      </c>
      <c r="AC287" s="9" t="s">
        <v>845</v>
      </c>
      <c r="AD287" s="9" t="s">
        <v>2592</v>
      </c>
      <c r="AE287" s="9"/>
    </row>
    <row r="288" spans="1:31" x14ac:dyDescent="0.2">
      <c r="A288" s="1" t="s">
        <v>31</v>
      </c>
      <c r="B288" s="1"/>
      <c r="C288" s="3">
        <v>45940</v>
      </c>
      <c r="D288" s="1" t="s">
        <v>49</v>
      </c>
      <c r="E288" s="1"/>
      <c r="F288" s="4" t="s">
        <v>2687</v>
      </c>
      <c r="G288" s="1">
        <v>2009</v>
      </c>
      <c r="H288" s="1" t="s">
        <v>2688</v>
      </c>
      <c r="I288" s="1" t="s">
        <v>2689</v>
      </c>
      <c r="J288" s="1" t="s">
        <v>2690</v>
      </c>
      <c r="K288" s="1" t="s">
        <v>2690</v>
      </c>
      <c r="L288" s="1"/>
      <c r="M288" s="1" t="s">
        <v>2691</v>
      </c>
      <c r="N288" s="5" t="str">
        <f>HYPERLINK("https://www.google.com/maps/search/?api=1&amp;query=10553 171st Place, Jamaica, NY 11433", "OPEN MAP")</f>
        <v>OPEN MAP</v>
      </c>
      <c r="O288" s="1" t="s">
        <v>2692</v>
      </c>
      <c r="P288" s="1" t="s">
        <v>42</v>
      </c>
      <c r="Q288" s="1" t="s">
        <v>43</v>
      </c>
      <c r="R288" s="1">
        <v>11433</v>
      </c>
      <c r="S288" s="6" t="s">
        <v>2693</v>
      </c>
      <c r="T288" s="7">
        <v>587438.43999999994</v>
      </c>
      <c r="U288" s="8">
        <v>40431</v>
      </c>
      <c r="V288" s="8"/>
      <c r="W288" s="7"/>
      <c r="X288" s="8"/>
      <c r="Y288" s="7"/>
      <c r="Z288" s="1"/>
      <c r="AA288" s="1" t="s">
        <v>45</v>
      </c>
      <c r="AB288" s="1" t="s">
        <v>46</v>
      </c>
      <c r="AC288" s="1" t="s">
        <v>162</v>
      </c>
      <c r="AD288" s="1" t="s">
        <v>2694</v>
      </c>
      <c r="AE288" s="1"/>
    </row>
    <row r="289" spans="1:31" x14ac:dyDescent="0.2">
      <c r="A289" s="9" t="s">
        <v>31</v>
      </c>
      <c r="B289" s="9"/>
      <c r="C289" s="10">
        <v>45940</v>
      </c>
      <c r="D289" s="9" t="s">
        <v>49</v>
      </c>
      <c r="E289" s="9"/>
      <c r="F289" s="11" t="s">
        <v>2695</v>
      </c>
      <c r="G289" s="9">
        <v>2020</v>
      </c>
      <c r="H289" s="9" t="s">
        <v>2696</v>
      </c>
      <c r="I289" s="9" t="s">
        <v>233</v>
      </c>
      <c r="J289" s="9" t="s">
        <v>2697</v>
      </c>
      <c r="K289" s="9" t="s">
        <v>2698</v>
      </c>
      <c r="L289" s="9" t="s">
        <v>2699</v>
      </c>
      <c r="M289" s="9" t="s">
        <v>2700</v>
      </c>
      <c r="N289" s="12" t="str">
        <f>HYPERLINK("https://www.google.com/maps/search/?api=1&amp;query=4564 170TH STREET, FLUSHING, NEW YORK 11358", "OPEN MAP")</f>
        <v>OPEN MAP</v>
      </c>
      <c r="O289" s="9" t="s">
        <v>2701</v>
      </c>
      <c r="P289" s="9" t="s">
        <v>568</v>
      </c>
      <c r="Q289" s="9" t="s">
        <v>765</v>
      </c>
      <c r="R289" s="9">
        <v>11358</v>
      </c>
      <c r="S289" s="13" t="s">
        <v>2702</v>
      </c>
      <c r="T289" s="14"/>
      <c r="U289" s="15"/>
      <c r="V289" s="15">
        <v>38455</v>
      </c>
      <c r="W289" s="14">
        <v>559200</v>
      </c>
      <c r="X289" s="15">
        <v>42804</v>
      </c>
      <c r="Y289" s="14"/>
      <c r="Z289" s="9" t="s">
        <v>1772</v>
      </c>
      <c r="AA289" s="9" t="s">
        <v>1024</v>
      </c>
      <c r="AB289" s="9" t="s">
        <v>768</v>
      </c>
      <c r="AC289" s="9" t="s">
        <v>769</v>
      </c>
      <c r="AD289" s="9"/>
      <c r="AE289" s="9"/>
    </row>
    <row r="290" spans="1:31" x14ac:dyDescent="0.2">
      <c r="A290" s="1" t="s">
        <v>31</v>
      </c>
      <c r="B290" s="1"/>
      <c r="C290" s="3">
        <v>45940</v>
      </c>
      <c r="D290" s="1" t="s">
        <v>49</v>
      </c>
      <c r="E290" s="1"/>
      <c r="F290" s="4" t="s">
        <v>2703</v>
      </c>
      <c r="G290" s="1">
        <v>2023</v>
      </c>
      <c r="H290" s="1" t="s">
        <v>2704</v>
      </c>
      <c r="I290" s="1" t="s">
        <v>233</v>
      </c>
      <c r="J290" s="1" t="s">
        <v>2705</v>
      </c>
      <c r="K290" s="1" t="s">
        <v>2705</v>
      </c>
      <c r="L290" s="1"/>
      <c r="M290" s="1" t="s">
        <v>2706</v>
      </c>
      <c r="N290" s="5" t="str">
        <f>HYPERLINK("https://www.google.com/maps/search/?api=1&amp;query=168-70 92nd Road, Jamaica, NY 11433", "OPEN MAP")</f>
        <v>OPEN MAP</v>
      </c>
      <c r="O290" s="1" t="s">
        <v>2707</v>
      </c>
      <c r="P290" s="1" t="s">
        <v>42</v>
      </c>
      <c r="Q290" s="1" t="s">
        <v>43</v>
      </c>
      <c r="R290" s="1">
        <v>11433</v>
      </c>
      <c r="S290" s="6" t="s">
        <v>2708</v>
      </c>
      <c r="T290" s="7"/>
      <c r="U290" s="8"/>
      <c r="V290" s="8">
        <v>41299</v>
      </c>
      <c r="W290" s="7">
        <v>230000</v>
      </c>
      <c r="X290" s="8"/>
      <c r="Y290" s="7"/>
      <c r="Z290" s="1" t="s">
        <v>867</v>
      </c>
      <c r="AA290" s="1" t="s">
        <v>2665</v>
      </c>
      <c r="AB290" s="1" t="s">
        <v>2709</v>
      </c>
      <c r="AC290" s="1" t="s">
        <v>870</v>
      </c>
      <c r="AD290" s="1"/>
      <c r="AE290" s="1"/>
    </row>
    <row r="291" spans="1:31" x14ac:dyDescent="0.2">
      <c r="A291" s="9" t="s">
        <v>115</v>
      </c>
      <c r="B291" s="9"/>
      <c r="C291" s="10">
        <v>45940</v>
      </c>
      <c r="D291" s="9" t="s">
        <v>49</v>
      </c>
      <c r="E291" s="9"/>
      <c r="F291" s="11" t="s">
        <v>2710</v>
      </c>
      <c r="G291" s="9">
        <v>2023</v>
      </c>
      <c r="H291" s="9" t="s">
        <v>2711</v>
      </c>
      <c r="I291" s="9" t="s">
        <v>815</v>
      </c>
      <c r="J291" s="9" t="s">
        <v>2712</v>
      </c>
      <c r="K291" s="9" t="s">
        <v>2712</v>
      </c>
      <c r="L291" s="9"/>
      <c r="M291" s="9" t="s">
        <v>2713</v>
      </c>
      <c r="N291" s="12" t="str">
        <f>HYPERLINK("https://www.google.com/maps/search/?api=1&amp;query=107-14 Princeton Street, Jamaica, NY 11435", "OPEN MAP")</f>
        <v>OPEN MAP</v>
      </c>
      <c r="O291" s="9" t="s">
        <v>2714</v>
      </c>
      <c r="P291" s="9" t="s">
        <v>42</v>
      </c>
      <c r="Q291" s="9" t="s">
        <v>43</v>
      </c>
      <c r="R291" s="9">
        <v>11435</v>
      </c>
      <c r="S291" s="13" t="s">
        <v>2715</v>
      </c>
      <c r="T291" s="14">
        <v>385000</v>
      </c>
      <c r="U291" s="15"/>
      <c r="V291" s="15">
        <v>38702</v>
      </c>
      <c r="W291" s="14">
        <v>385000</v>
      </c>
      <c r="X291" s="15">
        <v>42797</v>
      </c>
      <c r="Y291" s="14">
        <v>595379.93000000005</v>
      </c>
      <c r="Z291" s="9" t="s">
        <v>2329</v>
      </c>
      <c r="AA291" s="9" t="s">
        <v>239</v>
      </c>
      <c r="AB291" s="9" t="s">
        <v>240</v>
      </c>
      <c r="AC291" s="9" t="s">
        <v>1950</v>
      </c>
      <c r="AD291" s="9"/>
      <c r="AE291" s="9"/>
    </row>
    <row r="292" spans="1:31" x14ac:dyDescent="0.2">
      <c r="A292" s="1" t="s">
        <v>115</v>
      </c>
      <c r="B292" s="1"/>
      <c r="C292" s="3">
        <v>45940</v>
      </c>
      <c r="D292" s="1" t="s">
        <v>49</v>
      </c>
      <c r="E292" s="1"/>
      <c r="F292" s="4" t="s">
        <v>2716</v>
      </c>
      <c r="G292" s="1">
        <v>2011</v>
      </c>
      <c r="H292" s="1" t="s">
        <v>2717</v>
      </c>
      <c r="I292" s="1" t="s">
        <v>2718</v>
      </c>
      <c r="J292" s="1" t="s">
        <v>2719</v>
      </c>
      <c r="K292" s="1" t="s">
        <v>2719</v>
      </c>
      <c r="L292" s="1"/>
      <c r="M292" s="1" t="s">
        <v>2720</v>
      </c>
      <c r="N292" s="5" t="str">
        <f>HYPERLINK("https://www.google.com/maps/search/?api=1&amp;query=114-16 173rd Street, Saint Albans, NY 11434", "OPEN MAP")</f>
        <v>OPEN MAP</v>
      </c>
      <c r="O292" s="1" t="s">
        <v>2721</v>
      </c>
      <c r="P292" s="1" t="s">
        <v>357</v>
      </c>
      <c r="Q292" s="1" t="s">
        <v>43</v>
      </c>
      <c r="R292" s="1">
        <v>11434</v>
      </c>
      <c r="S292" s="6" t="s">
        <v>2722</v>
      </c>
      <c r="T292" s="7">
        <v>756381.9</v>
      </c>
      <c r="U292" s="8">
        <v>42891</v>
      </c>
      <c r="V292" s="8"/>
      <c r="W292" s="7"/>
      <c r="X292" s="8"/>
      <c r="Y292" s="7"/>
      <c r="Z292" s="1"/>
      <c r="AA292" s="1" t="s">
        <v>126</v>
      </c>
      <c r="AB292" s="1" t="s">
        <v>199</v>
      </c>
      <c r="AC292" s="1" t="s">
        <v>128</v>
      </c>
      <c r="AD292" s="1" t="s">
        <v>200</v>
      </c>
      <c r="AE292" s="1"/>
    </row>
    <row r="293" spans="1:31" x14ac:dyDescent="0.2">
      <c r="A293" s="9" t="s">
        <v>31</v>
      </c>
      <c r="B293" s="9"/>
      <c r="C293" s="10">
        <v>45940</v>
      </c>
      <c r="D293" s="9" t="s">
        <v>49</v>
      </c>
      <c r="E293" s="9"/>
      <c r="F293" s="11" t="s">
        <v>2723</v>
      </c>
      <c r="G293" s="9">
        <v>2014</v>
      </c>
      <c r="H293" s="9" t="s">
        <v>2724</v>
      </c>
      <c r="I293" s="9" t="s">
        <v>2725</v>
      </c>
      <c r="J293" s="9" t="s">
        <v>2726</v>
      </c>
      <c r="K293" s="9" t="s">
        <v>2727</v>
      </c>
      <c r="L293" s="9" t="s">
        <v>2728</v>
      </c>
      <c r="M293" s="9" t="s">
        <v>2729</v>
      </c>
      <c r="N293" s="12" t="str">
        <f>HYPERLINK("https://www.google.com/maps/search/?api=1&amp;query=11481 178TH ST, JAMAICA, NY 11434", "OPEN MAP")</f>
        <v>OPEN MAP</v>
      </c>
      <c r="O293" s="9" t="s">
        <v>2730</v>
      </c>
      <c r="P293" s="9" t="s">
        <v>274</v>
      </c>
      <c r="Q293" s="9" t="s">
        <v>43</v>
      </c>
      <c r="R293" s="9">
        <v>11434</v>
      </c>
      <c r="S293" s="13" t="s">
        <v>2731</v>
      </c>
      <c r="T293" s="14"/>
      <c r="U293" s="15">
        <v>45639</v>
      </c>
      <c r="V293" s="15"/>
      <c r="W293" s="14"/>
      <c r="X293" s="15"/>
      <c r="Y293" s="14"/>
      <c r="Z293" s="9"/>
      <c r="AA293" s="9" t="s">
        <v>60</v>
      </c>
      <c r="AB293" s="9" t="s">
        <v>61</v>
      </c>
      <c r="AC293" s="9"/>
      <c r="AD293" s="9" t="s">
        <v>988</v>
      </c>
      <c r="AE293" s="9"/>
    </row>
    <row r="294" spans="1:31" x14ac:dyDescent="0.2">
      <c r="A294" s="1" t="s">
        <v>31</v>
      </c>
      <c r="B294" s="1"/>
      <c r="C294" s="3">
        <v>45947</v>
      </c>
      <c r="D294" s="1" t="s">
        <v>49</v>
      </c>
      <c r="E294" s="1"/>
      <c r="F294" s="4" t="s">
        <v>2732</v>
      </c>
      <c r="G294" s="1">
        <v>2008</v>
      </c>
      <c r="H294" s="1" t="s">
        <v>2733</v>
      </c>
      <c r="I294" s="1" t="s">
        <v>2734</v>
      </c>
      <c r="J294" s="1" t="s">
        <v>2735</v>
      </c>
      <c r="K294" s="1" t="s">
        <v>2735</v>
      </c>
      <c r="L294" s="1"/>
      <c r="M294" s="1" t="s">
        <v>2736</v>
      </c>
      <c r="N294" s="5" t="str">
        <f>HYPERLINK("https://www.google.com/maps/search/?api=1&amp;query=18-32 121ST STREET, COLLEGE POINT, NY 11356", "OPEN MAP")</f>
        <v>OPEN MAP</v>
      </c>
      <c r="O294" s="1" t="s">
        <v>2737</v>
      </c>
      <c r="P294" s="1" t="s">
        <v>2126</v>
      </c>
      <c r="Q294" s="1" t="s">
        <v>43</v>
      </c>
      <c r="R294" s="1">
        <v>11356</v>
      </c>
      <c r="S294" s="6" t="s">
        <v>2738</v>
      </c>
      <c r="T294" s="7"/>
      <c r="U294" s="8">
        <v>43584</v>
      </c>
      <c r="V294" s="8"/>
      <c r="W294" s="7"/>
      <c r="X294" s="8"/>
      <c r="Y294" s="7"/>
      <c r="Z294" s="1"/>
      <c r="AA294" s="1" t="s">
        <v>60</v>
      </c>
      <c r="AB294" s="1" t="s">
        <v>61</v>
      </c>
      <c r="AC294" s="1"/>
      <c r="AD294" s="1" t="s">
        <v>2104</v>
      </c>
      <c r="AE294" s="1"/>
    </row>
    <row r="295" spans="1:31" x14ac:dyDescent="0.2">
      <c r="A295" s="9" t="s">
        <v>31</v>
      </c>
      <c r="B295" s="9"/>
      <c r="C295" s="10">
        <v>45947</v>
      </c>
      <c r="D295" s="9" t="s">
        <v>49</v>
      </c>
      <c r="E295" s="9"/>
      <c r="F295" s="11" t="s">
        <v>2739</v>
      </c>
      <c r="G295" s="9">
        <v>2018</v>
      </c>
      <c r="H295" s="9" t="s">
        <v>2740</v>
      </c>
      <c r="I295" s="9" t="s">
        <v>233</v>
      </c>
      <c r="J295" s="9" t="s">
        <v>2741</v>
      </c>
      <c r="K295" s="9" t="s">
        <v>2741</v>
      </c>
      <c r="L295" s="9"/>
      <c r="M295" s="9" t="s">
        <v>2742</v>
      </c>
      <c r="N295" s="12" t="str">
        <f>HYPERLINK("https://www.google.com/maps/search/?api=1&amp;query=177-33 106TH ROAD, JAMAICA, NY 11433", "OPEN MAP")</f>
        <v>OPEN MAP</v>
      </c>
      <c r="O295" s="9" t="s">
        <v>2743</v>
      </c>
      <c r="P295" s="9" t="s">
        <v>274</v>
      </c>
      <c r="Q295" s="9" t="s">
        <v>43</v>
      </c>
      <c r="R295" s="9">
        <v>11433</v>
      </c>
      <c r="S295" s="13" t="s">
        <v>2744</v>
      </c>
      <c r="T295" s="14"/>
      <c r="U295" s="15">
        <v>44946</v>
      </c>
      <c r="V295" s="15"/>
      <c r="W295" s="14"/>
      <c r="X295" s="15"/>
      <c r="Y295" s="14"/>
      <c r="Z295" s="9"/>
      <c r="AA295" s="9" t="s">
        <v>60</v>
      </c>
      <c r="AB295" s="9" t="s">
        <v>61</v>
      </c>
      <c r="AC295" s="9"/>
      <c r="AD295" s="9" t="s">
        <v>338</v>
      </c>
      <c r="AE295" s="9"/>
    </row>
    <row r="296" spans="1:31" x14ac:dyDescent="0.2">
      <c r="A296" s="1" t="s">
        <v>31</v>
      </c>
      <c r="B296" s="1"/>
      <c r="C296" s="3">
        <v>45947</v>
      </c>
      <c r="D296" s="1" t="s">
        <v>49</v>
      </c>
      <c r="E296" s="1"/>
      <c r="F296" s="4" t="s">
        <v>2745</v>
      </c>
      <c r="G296" s="1">
        <v>2015</v>
      </c>
      <c r="H296" s="1" t="s">
        <v>2746</v>
      </c>
      <c r="I296" s="1" t="s">
        <v>2747</v>
      </c>
      <c r="J296" s="1" t="s">
        <v>2748</v>
      </c>
      <c r="K296" s="1" t="s">
        <v>2748</v>
      </c>
      <c r="L296" s="1" t="s">
        <v>2749</v>
      </c>
      <c r="M296" s="1" t="s">
        <v>2750</v>
      </c>
      <c r="N296" s="5" t="str">
        <f>HYPERLINK("https://www.google.com/maps/search/?api=1&amp;query=10-31A 115th Street, College Point, NY 11356", "OPEN MAP")</f>
        <v>OPEN MAP</v>
      </c>
      <c r="O296" s="1" t="s">
        <v>2751</v>
      </c>
      <c r="P296" s="1" t="s">
        <v>1570</v>
      </c>
      <c r="Q296" s="1" t="s">
        <v>43</v>
      </c>
      <c r="R296" s="1">
        <v>11356</v>
      </c>
      <c r="S296" s="6" t="s">
        <v>2752</v>
      </c>
      <c r="T296" s="7">
        <v>692696.15</v>
      </c>
      <c r="U296" s="8">
        <v>43651</v>
      </c>
      <c r="V296" s="8">
        <v>2007</v>
      </c>
      <c r="W296" s="7"/>
      <c r="X296" s="8"/>
      <c r="Y296" s="7"/>
      <c r="Z296" s="1"/>
      <c r="AA296" s="1" t="s">
        <v>2753</v>
      </c>
      <c r="AB296" s="1" t="s">
        <v>2754</v>
      </c>
      <c r="AC296" s="1"/>
      <c r="AD296" s="1" t="s">
        <v>2755</v>
      </c>
      <c r="AE296" s="1"/>
    </row>
    <row r="297" spans="1:31" x14ac:dyDescent="0.2">
      <c r="A297" s="9" t="s">
        <v>115</v>
      </c>
      <c r="B297" s="9"/>
      <c r="C297" s="10">
        <v>45947</v>
      </c>
      <c r="D297" s="9" t="s">
        <v>49</v>
      </c>
      <c r="E297" s="9"/>
      <c r="F297" s="11" t="s">
        <v>2756</v>
      </c>
      <c r="G297" s="9">
        <v>2015</v>
      </c>
      <c r="H297" s="9" t="s">
        <v>2757</v>
      </c>
      <c r="I297" s="9" t="s">
        <v>2758</v>
      </c>
      <c r="J297" s="9" t="s">
        <v>2759</v>
      </c>
      <c r="K297" s="9" t="s">
        <v>2760</v>
      </c>
      <c r="L297" s="9" t="s">
        <v>2761</v>
      </c>
      <c r="M297" s="9" t="s">
        <v>2762</v>
      </c>
      <c r="N297" s="12" t="str">
        <f>HYPERLINK("https://www.google.com/maps/search/?api=1&amp;query=134-37 58th Road, Flushing, NY 11355", "OPEN MAP")</f>
        <v>OPEN MAP</v>
      </c>
      <c r="O297" s="9" t="s">
        <v>2763</v>
      </c>
      <c r="P297" s="9" t="s">
        <v>69</v>
      </c>
      <c r="Q297" s="9" t="s">
        <v>43</v>
      </c>
      <c r="R297" s="9">
        <v>11355</v>
      </c>
      <c r="S297" s="13" t="s">
        <v>2764</v>
      </c>
      <c r="T297" s="14">
        <v>530457.1</v>
      </c>
      <c r="U297" s="15">
        <v>43445</v>
      </c>
      <c r="V297" s="15"/>
      <c r="W297" s="14"/>
      <c r="X297" s="15"/>
      <c r="Y297" s="14"/>
      <c r="Z297" s="9"/>
      <c r="AA297" s="9" t="s">
        <v>1796</v>
      </c>
      <c r="AB297" s="9" t="s">
        <v>1797</v>
      </c>
      <c r="AC297" s="9"/>
      <c r="AD297" s="9" t="s">
        <v>2765</v>
      </c>
      <c r="AE297" s="9"/>
    </row>
    <row r="298" spans="1:31" x14ac:dyDescent="0.2">
      <c r="A298" s="1" t="s">
        <v>31</v>
      </c>
      <c r="B298" s="1"/>
      <c r="C298" s="3">
        <v>45947</v>
      </c>
      <c r="D298" s="1" t="s">
        <v>49</v>
      </c>
      <c r="E298" s="1"/>
      <c r="F298" s="4" t="s">
        <v>2766</v>
      </c>
      <c r="G298" s="1">
        <v>2018</v>
      </c>
      <c r="H298" s="1" t="s">
        <v>2767</v>
      </c>
      <c r="I298" s="1" t="s">
        <v>203</v>
      </c>
      <c r="J298" s="1" t="s">
        <v>2768</v>
      </c>
      <c r="K298" s="1" t="s">
        <v>2768</v>
      </c>
      <c r="L298" s="1"/>
      <c r="M298" s="1" t="s">
        <v>2769</v>
      </c>
      <c r="N298" s="5" t="str">
        <f>HYPERLINK("https://www.google.com/maps/search/?api=1&amp;query=17828 145th Avenue, Jamaica, New York 11434", "OPEN MAP")</f>
        <v>OPEN MAP</v>
      </c>
      <c r="O298" s="1" t="s">
        <v>2770</v>
      </c>
      <c r="P298" s="1" t="s">
        <v>42</v>
      </c>
      <c r="Q298" s="1" t="s">
        <v>251</v>
      </c>
      <c r="R298" s="1">
        <v>11434</v>
      </c>
      <c r="S298" s="6" t="s">
        <v>2771</v>
      </c>
      <c r="T298" s="7">
        <v>429044.99</v>
      </c>
      <c r="U298" s="8">
        <v>44998</v>
      </c>
      <c r="V298" s="8"/>
      <c r="W298" s="7"/>
      <c r="X298" s="8"/>
      <c r="Y298" s="7"/>
      <c r="Z298" s="1" t="s">
        <v>359</v>
      </c>
      <c r="AA298" s="1" t="s">
        <v>318</v>
      </c>
      <c r="AB298" s="1" t="s">
        <v>360</v>
      </c>
      <c r="AC298" s="1" t="s">
        <v>583</v>
      </c>
      <c r="AD298" s="1" t="s">
        <v>338</v>
      </c>
      <c r="AE298" s="1"/>
    </row>
    <row r="299" spans="1:31" x14ac:dyDescent="0.2">
      <c r="A299" s="9" t="s">
        <v>31</v>
      </c>
      <c r="B299" s="9"/>
      <c r="C299" s="10">
        <v>45947</v>
      </c>
      <c r="D299" s="9" t="s">
        <v>49</v>
      </c>
      <c r="E299" s="9"/>
      <c r="F299" s="11" t="s">
        <v>2772</v>
      </c>
      <c r="G299" s="9">
        <v>2023</v>
      </c>
      <c r="H299" s="9" t="s">
        <v>2773</v>
      </c>
      <c r="I299" s="9" t="s">
        <v>2774</v>
      </c>
      <c r="J299" s="9" t="s">
        <v>2775</v>
      </c>
      <c r="K299" s="9" t="s">
        <v>2775</v>
      </c>
      <c r="L299" s="9"/>
      <c r="M299" s="9" t="s">
        <v>2776</v>
      </c>
      <c r="N299" s="12" t="str">
        <f>HYPERLINK("https://www.google.com/maps/search/?api=1&amp;query=1383 PINSON STREET, FAR ROCKAWAY, NY 11691", "OPEN MAP")</f>
        <v>OPEN MAP</v>
      </c>
      <c r="O299" s="9" t="s">
        <v>2777</v>
      </c>
      <c r="P299" s="9" t="s">
        <v>764</v>
      </c>
      <c r="Q299" s="9" t="s">
        <v>43</v>
      </c>
      <c r="R299" s="9">
        <v>11691</v>
      </c>
      <c r="S299" s="13" t="s">
        <v>2778</v>
      </c>
      <c r="T299" s="14"/>
      <c r="U299" s="15">
        <v>45593</v>
      </c>
      <c r="V299" s="15"/>
      <c r="W299" s="14"/>
      <c r="X299" s="15"/>
      <c r="Y299" s="14"/>
      <c r="Z299" s="9"/>
      <c r="AA299" s="9" t="s">
        <v>60</v>
      </c>
      <c r="AB299" s="9" t="s">
        <v>61</v>
      </c>
      <c r="AC299" s="9"/>
      <c r="AD299" s="9" t="s">
        <v>1859</v>
      </c>
      <c r="AE299" s="9"/>
    </row>
    <row r="300" spans="1:31" x14ac:dyDescent="0.2">
      <c r="A300" s="1" t="s">
        <v>115</v>
      </c>
      <c r="B300" s="1"/>
      <c r="C300" s="3">
        <v>45947</v>
      </c>
      <c r="D300" s="1" t="s">
        <v>49</v>
      </c>
      <c r="E300" s="1"/>
      <c r="F300" s="4" t="s">
        <v>2779</v>
      </c>
      <c r="G300" s="1">
        <v>2023</v>
      </c>
      <c r="H300" s="1" t="s">
        <v>2780</v>
      </c>
      <c r="I300" s="1" t="s">
        <v>233</v>
      </c>
      <c r="J300" s="1" t="s">
        <v>2781</v>
      </c>
      <c r="K300" s="1" t="s">
        <v>2782</v>
      </c>
      <c r="L300" s="1"/>
      <c r="M300" s="1" t="s">
        <v>2783</v>
      </c>
      <c r="N300" s="5" t="str">
        <f>HYPERLINK("https://www.google.com/maps/search/?api=1&amp;query=107-18 Guy R Brewer Blvd., Jamaica, NY 11433", "OPEN MAP")</f>
        <v>OPEN MAP</v>
      </c>
      <c r="O300" s="1" t="s">
        <v>2784</v>
      </c>
      <c r="P300" s="1" t="s">
        <v>42</v>
      </c>
      <c r="Q300" s="1" t="s">
        <v>43</v>
      </c>
      <c r="R300" s="1">
        <v>11433</v>
      </c>
      <c r="S300" s="6" t="s">
        <v>2785</v>
      </c>
      <c r="T300" s="7"/>
      <c r="U300" s="8"/>
      <c r="V300" s="8">
        <v>43630</v>
      </c>
      <c r="W300" s="7">
        <v>446250</v>
      </c>
      <c r="X300" s="8"/>
      <c r="Y300" s="7"/>
      <c r="Z300" s="1" t="s">
        <v>2030</v>
      </c>
      <c r="AA300" s="1" t="s">
        <v>2031</v>
      </c>
      <c r="AB300" s="1" t="s">
        <v>2786</v>
      </c>
      <c r="AC300" s="1" t="s">
        <v>2033</v>
      </c>
      <c r="AD300" s="1"/>
      <c r="AE300" s="1"/>
    </row>
    <row r="301" spans="1:31" x14ac:dyDescent="0.2">
      <c r="A301" s="9" t="s">
        <v>31</v>
      </c>
      <c r="B301" s="9"/>
      <c r="C301" s="10">
        <v>45947</v>
      </c>
      <c r="D301" s="9" t="s">
        <v>49</v>
      </c>
      <c r="E301" s="9"/>
      <c r="F301" s="11" t="s">
        <v>2787</v>
      </c>
      <c r="G301" s="9">
        <v>2021</v>
      </c>
      <c r="H301" s="9" t="s">
        <v>2788</v>
      </c>
      <c r="I301" s="9" t="s">
        <v>2789</v>
      </c>
      <c r="J301" s="9" t="s">
        <v>2790</v>
      </c>
      <c r="K301" s="9" t="s">
        <v>2791</v>
      </c>
      <c r="L301" s="9" t="s">
        <v>2792</v>
      </c>
      <c r="M301" s="9" t="s">
        <v>2793</v>
      </c>
      <c r="N301" s="12" t="str">
        <f>HYPERLINK("https://www.google.com/maps/search/?api=1&amp;query=111-35 202nd Street Saint Albans, NY 11412", "OPEN MAP")</f>
        <v>OPEN MAP</v>
      </c>
      <c r="O301" s="9" t="s">
        <v>2794</v>
      </c>
      <c r="P301" s="9" t="s">
        <v>357</v>
      </c>
      <c r="Q301" s="9" t="s">
        <v>43</v>
      </c>
      <c r="R301" s="9">
        <v>11412</v>
      </c>
      <c r="S301" s="13"/>
      <c r="T301" s="14"/>
      <c r="U301" s="15"/>
      <c r="V301" s="15"/>
      <c r="W301" s="14"/>
      <c r="X301" s="15"/>
      <c r="Y301" s="14"/>
      <c r="Z301" s="9" t="s">
        <v>867</v>
      </c>
      <c r="AA301" s="9" t="s">
        <v>2665</v>
      </c>
      <c r="AB301" s="9" t="s">
        <v>1015</v>
      </c>
      <c r="AC301" s="9" t="s">
        <v>2795</v>
      </c>
      <c r="AD301" s="9" t="s">
        <v>2796</v>
      </c>
      <c r="AE301" s="9"/>
    </row>
    <row r="302" spans="1:31" x14ac:dyDescent="0.2">
      <c r="A302" s="1" t="s">
        <v>31</v>
      </c>
      <c r="B302" s="1"/>
      <c r="C302" s="3">
        <v>45947</v>
      </c>
      <c r="D302" s="1" t="s">
        <v>49</v>
      </c>
      <c r="E302" s="1"/>
      <c r="F302" s="4" t="s">
        <v>2797</v>
      </c>
      <c r="G302" s="1">
        <v>2022</v>
      </c>
      <c r="H302" s="1" t="s">
        <v>2798</v>
      </c>
      <c r="I302" s="1" t="s">
        <v>279</v>
      </c>
      <c r="J302" s="1" t="s">
        <v>2799</v>
      </c>
      <c r="K302" s="1" t="s">
        <v>2800</v>
      </c>
      <c r="L302" s="1"/>
      <c r="M302" s="1" t="s">
        <v>2801</v>
      </c>
      <c r="N302" s="5" t="str">
        <f>HYPERLINK("https://www.google.com/maps/search/?api=1&amp;query=175-05 Liberty Avenue, Jamaica, NY 11433", "OPEN MAP")</f>
        <v>OPEN MAP</v>
      </c>
      <c r="O302" s="1" t="s">
        <v>2802</v>
      </c>
      <c r="P302" s="1" t="s">
        <v>42</v>
      </c>
      <c r="Q302" s="1" t="s">
        <v>43</v>
      </c>
      <c r="R302" s="1">
        <v>11433</v>
      </c>
      <c r="S302" s="6" t="s">
        <v>2803</v>
      </c>
      <c r="T302" s="7"/>
      <c r="U302" s="8"/>
      <c r="V302" s="8"/>
      <c r="W302" s="7"/>
      <c r="X302" s="8"/>
      <c r="Y302" s="7"/>
      <c r="Z302" s="1" t="s">
        <v>1427</v>
      </c>
      <c r="AA302" s="1" t="s">
        <v>1428</v>
      </c>
      <c r="AB302" s="1" t="s">
        <v>1429</v>
      </c>
      <c r="AC302" s="1" t="s">
        <v>1672</v>
      </c>
      <c r="AD302" s="1"/>
      <c r="AE302" s="1"/>
    </row>
    <row r="303" spans="1:31" x14ac:dyDescent="0.2">
      <c r="A303" s="9" t="s">
        <v>31</v>
      </c>
      <c r="B303" s="9"/>
      <c r="C303" s="10">
        <v>45947</v>
      </c>
      <c r="D303" s="9" t="s">
        <v>49</v>
      </c>
      <c r="E303" s="9"/>
      <c r="F303" s="11" t="s">
        <v>2804</v>
      </c>
      <c r="G303" s="9">
        <v>2011</v>
      </c>
      <c r="H303" s="9" t="s">
        <v>2805</v>
      </c>
      <c r="I303" s="9" t="s">
        <v>2806</v>
      </c>
      <c r="J303" s="9" t="s">
        <v>2807</v>
      </c>
      <c r="K303" s="9" t="s">
        <v>2807</v>
      </c>
      <c r="L303" s="9"/>
      <c r="M303" s="9" t="s">
        <v>2808</v>
      </c>
      <c r="N303" s="12" t="str">
        <f>HYPERLINK("https://www.google.com/maps/search/?api=1&amp;query=14406 a/k/a 144-06 116th Avenue, Jamaica, NY 11436", "OPEN MAP")</f>
        <v>OPEN MAP</v>
      </c>
      <c r="O303" s="9" t="s">
        <v>2809</v>
      </c>
      <c r="P303" s="9" t="s">
        <v>42</v>
      </c>
      <c r="Q303" s="9" t="s">
        <v>43</v>
      </c>
      <c r="R303" s="9">
        <v>11436</v>
      </c>
      <c r="S303" s="13" t="s">
        <v>2810</v>
      </c>
      <c r="T303" s="14">
        <v>375851.53</v>
      </c>
      <c r="U303" s="15">
        <v>43418</v>
      </c>
      <c r="V303" s="15"/>
      <c r="W303" s="14"/>
      <c r="X303" s="15"/>
      <c r="Y303" s="14"/>
      <c r="Z303" s="9"/>
      <c r="AA303" s="9" t="s">
        <v>426</v>
      </c>
      <c r="AB303" s="9" t="s">
        <v>601</v>
      </c>
      <c r="AC303" s="9"/>
      <c r="AD303" s="9" t="s">
        <v>2811</v>
      </c>
      <c r="AE303" s="9"/>
    </row>
    <row r="304" spans="1:31" x14ac:dyDescent="0.2">
      <c r="A304" s="1" t="s">
        <v>31</v>
      </c>
      <c r="B304" s="1"/>
      <c r="C304" s="3">
        <v>45947</v>
      </c>
      <c r="D304" s="1" t="s">
        <v>49</v>
      </c>
      <c r="E304" s="1"/>
      <c r="F304" s="4" t="s">
        <v>2812</v>
      </c>
      <c r="G304" s="1">
        <v>2015</v>
      </c>
      <c r="H304" s="1" t="s">
        <v>2813</v>
      </c>
      <c r="I304" s="1" t="s">
        <v>2814</v>
      </c>
      <c r="J304" s="1" t="s">
        <v>2815</v>
      </c>
      <c r="K304" s="1" t="s">
        <v>2816</v>
      </c>
      <c r="L304" s="1"/>
      <c r="M304" s="1" t="s">
        <v>2817</v>
      </c>
      <c r="N304" s="5" t="str">
        <f>HYPERLINK("https://www.google.com/maps/search/?api=1&amp;query=9430 Lefferts Blvd, South Richmond Hill, NY 11419", "OPEN MAP")</f>
        <v>OPEN MAP</v>
      </c>
      <c r="O304" s="1" t="s">
        <v>2818</v>
      </c>
      <c r="P304" s="1" t="s">
        <v>110</v>
      </c>
      <c r="Q304" s="1" t="s">
        <v>43</v>
      </c>
      <c r="R304" s="1">
        <v>11419</v>
      </c>
      <c r="S304" s="6" t="s">
        <v>2819</v>
      </c>
      <c r="T304" s="7">
        <v>985662.96</v>
      </c>
      <c r="U304" s="8">
        <v>43892</v>
      </c>
      <c r="V304" s="8"/>
      <c r="W304" s="7"/>
      <c r="X304" s="8"/>
      <c r="Y304" s="7"/>
      <c r="Z304" s="1"/>
      <c r="AA304" s="1" t="s">
        <v>1325</v>
      </c>
      <c r="AB304" s="1" t="s">
        <v>309</v>
      </c>
      <c r="AC304" s="1"/>
      <c r="AD304" s="1" t="s">
        <v>2820</v>
      </c>
      <c r="AE304" s="1"/>
    </row>
    <row r="305" spans="1:31" x14ac:dyDescent="0.2">
      <c r="A305" s="9" t="s">
        <v>31</v>
      </c>
      <c r="B305" s="9"/>
      <c r="C305" s="10">
        <v>45947</v>
      </c>
      <c r="D305" s="9" t="s">
        <v>49</v>
      </c>
      <c r="E305" s="9"/>
      <c r="F305" s="11" t="s">
        <v>2821</v>
      </c>
      <c r="G305" s="9">
        <v>2007</v>
      </c>
      <c r="H305" s="9" t="s">
        <v>2822</v>
      </c>
      <c r="I305" s="9" t="s">
        <v>2823</v>
      </c>
      <c r="J305" s="9" t="s">
        <v>2824</v>
      </c>
      <c r="K305" s="9" t="s">
        <v>2824</v>
      </c>
      <c r="L305" s="9"/>
      <c r="M305" s="9" t="s">
        <v>2825</v>
      </c>
      <c r="N305" s="12" t="str">
        <f>HYPERLINK("https://www.google.com/maps/search/?api=1&amp;query=91-37 114th Street, Richmond Hill, NY 11418", "OPEN MAP")</f>
        <v>OPEN MAP</v>
      </c>
      <c r="O305" s="9" t="s">
        <v>2826</v>
      </c>
      <c r="P305" s="9" t="s">
        <v>453</v>
      </c>
      <c r="Q305" s="9" t="s">
        <v>43</v>
      </c>
      <c r="R305" s="9">
        <v>11418</v>
      </c>
      <c r="S305" s="13" t="s">
        <v>2827</v>
      </c>
      <c r="T305" s="14">
        <v>580390.49</v>
      </c>
      <c r="U305" s="15">
        <v>40121</v>
      </c>
      <c r="V305" s="15"/>
      <c r="W305" s="14"/>
      <c r="X305" s="15"/>
      <c r="Y305" s="14"/>
      <c r="Z305" s="9"/>
      <c r="AA305" s="9" t="s">
        <v>1779</v>
      </c>
      <c r="AB305" s="9" t="s">
        <v>1780</v>
      </c>
      <c r="AC305" s="9" t="s">
        <v>845</v>
      </c>
      <c r="AD305" s="9" t="s">
        <v>2828</v>
      </c>
      <c r="AE305" s="9"/>
    </row>
    <row r="306" spans="1:31" x14ac:dyDescent="0.2">
      <c r="A306" s="1" t="s">
        <v>115</v>
      </c>
      <c r="B306" s="1"/>
      <c r="C306" s="3">
        <v>45947</v>
      </c>
      <c r="D306" s="1" t="s">
        <v>49</v>
      </c>
      <c r="E306" s="1"/>
      <c r="F306" s="4" t="s">
        <v>2829</v>
      </c>
      <c r="G306" s="1">
        <v>2023</v>
      </c>
      <c r="H306" s="1" t="s">
        <v>2830</v>
      </c>
      <c r="I306" s="1" t="s">
        <v>279</v>
      </c>
      <c r="J306" s="1" t="s">
        <v>2831</v>
      </c>
      <c r="K306" s="1" t="s">
        <v>2831</v>
      </c>
      <c r="L306" s="1" t="s">
        <v>2832</v>
      </c>
      <c r="M306" s="1" t="s">
        <v>2833</v>
      </c>
      <c r="N306" s="5" t="str">
        <f>HYPERLINK("https://www.google.com/maps/search/?api=1&amp;query=150-19 Liberty Avenue, Jamaica, New York 11433", "OPEN MAP")</f>
        <v>OPEN MAP</v>
      </c>
      <c r="O306" s="1" t="s">
        <v>2834</v>
      </c>
      <c r="P306" s="1" t="s">
        <v>42</v>
      </c>
      <c r="Q306" s="1" t="s">
        <v>251</v>
      </c>
      <c r="R306" s="1">
        <v>11433</v>
      </c>
      <c r="S306" s="6" t="s">
        <v>2835</v>
      </c>
      <c r="T306" s="7">
        <v>901370.87</v>
      </c>
      <c r="U306" s="8">
        <v>45644</v>
      </c>
      <c r="V306" s="8" t="s">
        <v>2836</v>
      </c>
      <c r="W306" s="7"/>
      <c r="X306" s="8"/>
      <c r="Y306" s="7"/>
      <c r="Z306" s="1" t="s">
        <v>2837</v>
      </c>
      <c r="AA306" s="1" t="s">
        <v>2837</v>
      </c>
      <c r="AB306" s="1" t="s">
        <v>2838</v>
      </c>
      <c r="AC306" s="1" t="s">
        <v>2839</v>
      </c>
      <c r="AD306" s="1" t="s">
        <v>2840</v>
      </c>
      <c r="AE306" s="1" t="s">
        <v>2841</v>
      </c>
    </row>
    <row r="307" spans="1:31" x14ac:dyDescent="0.2">
      <c r="A307" s="9" t="s">
        <v>31</v>
      </c>
      <c r="B307" s="9"/>
      <c r="C307" s="10">
        <v>45954</v>
      </c>
      <c r="D307" s="9" t="s">
        <v>49</v>
      </c>
      <c r="E307" s="9"/>
      <c r="F307" s="11" t="s">
        <v>2842</v>
      </c>
      <c r="G307" s="9">
        <v>2023</v>
      </c>
      <c r="H307" s="9" t="s">
        <v>2843</v>
      </c>
      <c r="I307" s="9" t="s">
        <v>683</v>
      </c>
      <c r="J307" s="9" t="s">
        <v>2844</v>
      </c>
      <c r="K307" s="9" t="s">
        <v>2844</v>
      </c>
      <c r="L307" s="9"/>
      <c r="M307" s="9" t="s">
        <v>2845</v>
      </c>
      <c r="N307" s="12" t="str">
        <f>HYPERLINK("https://www.google.com/maps/search/?api=1&amp;query=48-05 POYER STREET, ELMHURST, NEW YORK 11373", "OPEN MAP")</f>
        <v>OPEN MAP</v>
      </c>
      <c r="O307" s="9" t="s">
        <v>2846</v>
      </c>
      <c r="P307" s="9" t="s">
        <v>939</v>
      </c>
      <c r="Q307" s="9" t="s">
        <v>765</v>
      </c>
      <c r="R307" s="9">
        <v>11373</v>
      </c>
      <c r="S307" s="13" t="s">
        <v>2847</v>
      </c>
      <c r="T307" s="14"/>
      <c r="U307" s="15"/>
      <c r="V307" s="15">
        <v>38672</v>
      </c>
      <c r="W307" s="14">
        <v>440000</v>
      </c>
      <c r="X307" s="15">
        <v>40340</v>
      </c>
      <c r="Y307" s="14"/>
      <c r="Z307" s="9" t="s">
        <v>2848</v>
      </c>
      <c r="AA307" s="9" t="s">
        <v>2849</v>
      </c>
      <c r="AB307" s="9" t="s">
        <v>768</v>
      </c>
      <c r="AC307" s="9" t="s">
        <v>2850</v>
      </c>
      <c r="AD307" s="9"/>
      <c r="AE307" s="9"/>
    </row>
    <row r="308" spans="1:31" x14ac:dyDescent="0.2">
      <c r="A308" s="1" t="s">
        <v>31</v>
      </c>
      <c r="B308" s="1"/>
      <c r="C308" s="3">
        <v>45954</v>
      </c>
      <c r="D308" s="1" t="s">
        <v>49</v>
      </c>
      <c r="E308" s="1"/>
      <c r="F308" s="4" t="s">
        <v>2851</v>
      </c>
      <c r="G308" s="1">
        <v>2020</v>
      </c>
      <c r="H308" s="1" t="s">
        <v>2852</v>
      </c>
      <c r="I308" s="1" t="s">
        <v>2853</v>
      </c>
      <c r="J308" s="1" t="s">
        <v>2854</v>
      </c>
      <c r="K308" s="1" t="s">
        <v>2854</v>
      </c>
      <c r="L308" s="1"/>
      <c r="M308" s="1" t="s">
        <v>2855</v>
      </c>
      <c r="N308" s="5" t="str">
        <f>HYPERLINK("https://www.google.com/maps/search/?api=1&amp;query=91-53 195th Street, Hollis, New York 11423", "OPEN MAP")</f>
        <v>OPEN MAP</v>
      </c>
      <c r="O308" s="1" t="s">
        <v>2856</v>
      </c>
      <c r="P308" s="1" t="s">
        <v>80</v>
      </c>
      <c r="Q308" s="1" t="s">
        <v>43</v>
      </c>
      <c r="R308" s="1">
        <v>11423</v>
      </c>
      <c r="S308" s="6" t="s">
        <v>2857</v>
      </c>
      <c r="T308" s="7"/>
      <c r="U308" s="8"/>
      <c r="V308" s="8">
        <v>38755</v>
      </c>
      <c r="W308" s="7">
        <v>520000</v>
      </c>
      <c r="X308" s="8"/>
      <c r="Y308" s="7"/>
      <c r="Z308" s="1" t="s">
        <v>2858</v>
      </c>
      <c r="AA308" s="1" t="s">
        <v>60</v>
      </c>
      <c r="AB308" s="1" t="s">
        <v>768</v>
      </c>
      <c r="AC308" s="1" t="s">
        <v>769</v>
      </c>
      <c r="AD308" s="1"/>
      <c r="AE308" s="1"/>
    </row>
    <row r="309" spans="1:31" x14ac:dyDescent="0.2">
      <c r="A309" s="9" t="s">
        <v>115</v>
      </c>
      <c r="B309" s="9"/>
      <c r="C309" s="10">
        <v>45954</v>
      </c>
      <c r="D309" s="9" t="s">
        <v>49</v>
      </c>
      <c r="E309" s="9"/>
      <c r="F309" s="11" t="s">
        <v>2859</v>
      </c>
      <c r="G309" s="9">
        <v>2021</v>
      </c>
      <c r="H309" s="9" t="s">
        <v>2860</v>
      </c>
      <c r="I309" s="9" t="s">
        <v>912</v>
      </c>
      <c r="J309" s="9" t="s">
        <v>2508</v>
      </c>
      <c r="K309" s="9" t="s">
        <v>2508</v>
      </c>
      <c r="L309" s="9"/>
      <c r="M309" s="9" t="s">
        <v>2861</v>
      </c>
      <c r="N309" s="12" t="str">
        <f>HYPERLINK("https://www.google.com/maps/search/?api=1&amp;query=106-07 177th Street, Jamaica, NY 11433", "OPEN MAP")</f>
        <v>OPEN MAP</v>
      </c>
      <c r="O309" s="9" t="s">
        <v>2862</v>
      </c>
      <c r="P309" s="9" t="s">
        <v>42</v>
      </c>
      <c r="Q309" s="9" t="s">
        <v>43</v>
      </c>
      <c r="R309" s="9">
        <v>11433</v>
      </c>
      <c r="S309" s="13" t="s">
        <v>2863</v>
      </c>
      <c r="T309" s="14">
        <v>1274777.57</v>
      </c>
      <c r="U309" s="15">
        <v>44789</v>
      </c>
      <c r="V309" s="15"/>
      <c r="W309" s="14"/>
      <c r="X309" s="15"/>
      <c r="Y309" s="14"/>
      <c r="Z309" s="9"/>
      <c r="AA309" s="9" t="s">
        <v>909</v>
      </c>
      <c r="AB309" s="9" t="s">
        <v>72</v>
      </c>
      <c r="AC309" s="9"/>
      <c r="AD309" s="9" t="s">
        <v>1859</v>
      </c>
      <c r="AE309" s="9"/>
    </row>
    <row r="310" spans="1:31" x14ac:dyDescent="0.2">
      <c r="A310" s="1" t="s">
        <v>31</v>
      </c>
      <c r="B310" s="1"/>
      <c r="C310" s="3">
        <v>45954</v>
      </c>
      <c r="D310" s="1" t="s">
        <v>49</v>
      </c>
      <c r="E310" s="1"/>
      <c r="F310" s="4" t="s">
        <v>2864</v>
      </c>
      <c r="G310" s="1">
        <v>2023</v>
      </c>
      <c r="H310" s="1" t="s">
        <v>2865</v>
      </c>
      <c r="I310" s="1" t="s">
        <v>2866</v>
      </c>
      <c r="J310" s="1" t="s">
        <v>2867</v>
      </c>
      <c r="K310" s="1" t="s">
        <v>2867</v>
      </c>
      <c r="L310" s="1" t="s">
        <v>2868</v>
      </c>
      <c r="M310" s="1" t="s">
        <v>2869</v>
      </c>
      <c r="N310" s="5" t="str">
        <f>HYPERLINK("https://www.google.com/maps/search/?api=1&amp;query=14202 174TH STREET, JAMAICA, NEW YORK 11434", "OPEN MAP")</f>
        <v>OPEN MAP</v>
      </c>
      <c r="O310" s="1" t="s">
        <v>2870</v>
      </c>
      <c r="P310" s="1" t="s">
        <v>274</v>
      </c>
      <c r="Q310" s="1" t="s">
        <v>765</v>
      </c>
      <c r="R310" s="1">
        <v>11434</v>
      </c>
      <c r="S310" s="6" t="s">
        <v>2871</v>
      </c>
      <c r="T310" s="7"/>
      <c r="U310" s="8"/>
      <c r="V310" s="8">
        <v>38595</v>
      </c>
      <c r="W310" s="7">
        <v>502550</v>
      </c>
      <c r="X310" s="8">
        <v>40668</v>
      </c>
      <c r="Y310" s="7"/>
      <c r="Z310" s="1" t="s">
        <v>1772</v>
      </c>
      <c r="AA310" s="1" t="s">
        <v>2872</v>
      </c>
      <c r="AB310" s="1" t="s">
        <v>2873</v>
      </c>
      <c r="AC310" s="1" t="s">
        <v>769</v>
      </c>
      <c r="AD310" s="1"/>
      <c r="AE310" s="1"/>
    </row>
    <row r="311" spans="1:31" x14ac:dyDescent="0.2">
      <c r="A311" s="9" t="s">
        <v>31</v>
      </c>
      <c r="B311" s="9"/>
      <c r="C311" s="10">
        <v>45954</v>
      </c>
      <c r="D311" s="9" t="s">
        <v>49</v>
      </c>
      <c r="E311" s="9"/>
      <c r="F311" s="11" t="s">
        <v>2874</v>
      </c>
      <c r="G311" s="9">
        <v>2007</v>
      </c>
      <c r="H311" s="9" t="s">
        <v>2875</v>
      </c>
      <c r="I311" s="9" t="s">
        <v>2876</v>
      </c>
      <c r="J311" s="9" t="s">
        <v>2877</v>
      </c>
      <c r="K311" s="9" t="s">
        <v>2877</v>
      </c>
      <c r="L311" s="9"/>
      <c r="M311" s="9" t="s">
        <v>2878</v>
      </c>
      <c r="N311" s="12" t="str">
        <f>HYPERLINK("https://www.google.com/maps/search/?api=1&amp;query=9339 205TH ST, HOLLIS, NY 11423", "OPEN MAP")</f>
        <v>OPEN MAP</v>
      </c>
      <c r="O311" s="9" t="s">
        <v>2879</v>
      </c>
      <c r="P311" s="9" t="s">
        <v>80</v>
      </c>
      <c r="Q311" s="9" t="s">
        <v>43</v>
      </c>
      <c r="R311" s="9">
        <v>11423</v>
      </c>
      <c r="S311" s="13" t="s">
        <v>2880</v>
      </c>
      <c r="T311" s="14"/>
      <c r="U311" s="15">
        <v>43844</v>
      </c>
      <c r="V311" s="15"/>
      <c r="W311" s="14"/>
      <c r="X311" s="15"/>
      <c r="Y311" s="14"/>
      <c r="Z311" s="9"/>
      <c r="AA311" s="9" t="s">
        <v>60</v>
      </c>
      <c r="AB311" s="9" t="s">
        <v>61</v>
      </c>
      <c r="AC311" s="9"/>
      <c r="AD311" s="9" t="s">
        <v>2881</v>
      </c>
      <c r="AE311" s="9"/>
    </row>
    <row r="312" spans="1:31" x14ac:dyDescent="0.2">
      <c r="A312" s="1" t="s">
        <v>115</v>
      </c>
      <c r="B312" s="1"/>
      <c r="C312" s="3">
        <v>45954</v>
      </c>
      <c r="D312" s="1" t="s">
        <v>49</v>
      </c>
      <c r="E312" s="1"/>
      <c r="F312" s="4" t="s">
        <v>2882</v>
      </c>
      <c r="G312" s="1">
        <v>2023</v>
      </c>
      <c r="H312" s="1" t="s">
        <v>2883</v>
      </c>
      <c r="I312" s="1" t="s">
        <v>203</v>
      </c>
      <c r="J312" s="1" t="s">
        <v>2884</v>
      </c>
      <c r="K312" s="1" t="s">
        <v>2885</v>
      </c>
      <c r="L312" s="1"/>
      <c r="M312" s="1" t="s">
        <v>2886</v>
      </c>
      <c r="N312" s="5" t="str">
        <f>HYPERLINK("https://www.google.com/maps/search/?api=1&amp;query=8830 79th Avenue a/k/a 88-30 79th Avenue, Glendale a/k/a Ridgewood, New York 11385", "OPEN MAP")</f>
        <v>OPEN MAP</v>
      </c>
      <c r="O312" s="1" t="s">
        <v>2887</v>
      </c>
      <c r="P312" s="1" t="s">
        <v>1930</v>
      </c>
      <c r="Q312" s="1" t="s">
        <v>251</v>
      </c>
      <c r="R312" s="1">
        <v>11385</v>
      </c>
      <c r="S312" s="6" t="s">
        <v>2888</v>
      </c>
      <c r="T312" s="7"/>
      <c r="U312" s="8"/>
      <c r="V312" s="8">
        <v>39248</v>
      </c>
      <c r="W312" s="7">
        <v>500000</v>
      </c>
      <c r="X312" s="8">
        <v>43431</v>
      </c>
      <c r="Y312" s="7">
        <v>683093.6</v>
      </c>
      <c r="Z312" s="1" t="s">
        <v>2889</v>
      </c>
      <c r="AA312" s="1" t="s">
        <v>318</v>
      </c>
      <c r="AB312" s="1" t="s">
        <v>255</v>
      </c>
      <c r="AC312" s="1" t="s">
        <v>256</v>
      </c>
      <c r="AD312" s="1"/>
      <c r="AE312" s="1"/>
    </row>
    <row r="313" spans="1:31" x14ac:dyDescent="0.2">
      <c r="A313" s="9" t="s">
        <v>31</v>
      </c>
      <c r="B313" s="9"/>
      <c r="C313" s="10">
        <v>45954</v>
      </c>
      <c r="D313" s="9" t="s">
        <v>49</v>
      </c>
      <c r="E313" s="9"/>
      <c r="F313" s="11" t="s">
        <v>2890</v>
      </c>
      <c r="G313" s="9">
        <v>2018</v>
      </c>
      <c r="H313" s="9" t="s">
        <v>2891</v>
      </c>
      <c r="I313" s="9" t="s">
        <v>2892</v>
      </c>
      <c r="J313" s="9" t="s">
        <v>2893</v>
      </c>
      <c r="K313" s="9" t="s">
        <v>2893</v>
      </c>
      <c r="L313" s="9"/>
      <c r="M313" s="9" t="s">
        <v>2894</v>
      </c>
      <c r="N313" s="12" t="str">
        <f>HYPERLINK("https://www.google.com/maps/search/?api=1&amp;query=10401 212TH STREET, QUEENS VILLAGE, NY 11429", "OPEN MAP")</f>
        <v>OPEN MAP</v>
      </c>
      <c r="O313" s="9" t="s">
        <v>2895</v>
      </c>
      <c r="P313" s="9" t="s">
        <v>515</v>
      </c>
      <c r="Q313" s="9" t="s">
        <v>43</v>
      </c>
      <c r="R313" s="9">
        <v>11429</v>
      </c>
      <c r="S313" s="13" t="s">
        <v>2896</v>
      </c>
      <c r="T313" s="14"/>
      <c r="U313" s="15">
        <v>45455</v>
      </c>
      <c r="V313" s="15"/>
      <c r="W313" s="14"/>
      <c r="X313" s="15"/>
      <c r="Y313" s="14"/>
      <c r="Z313" s="9"/>
      <c r="AA313" s="9" t="s">
        <v>60</v>
      </c>
      <c r="AB313" s="9" t="s">
        <v>61</v>
      </c>
      <c r="AC313" s="9"/>
      <c r="AD313" s="9" t="s">
        <v>163</v>
      </c>
      <c r="AE313" s="9"/>
    </row>
    <row r="314" spans="1:31" x14ac:dyDescent="0.2">
      <c r="A314" s="1" t="s">
        <v>31</v>
      </c>
      <c r="B314" s="1"/>
      <c r="C314" s="3">
        <v>45954</v>
      </c>
      <c r="D314" s="1" t="s">
        <v>49</v>
      </c>
      <c r="E314" s="1"/>
      <c r="F314" s="4" t="s">
        <v>2897</v>
      </c>
      <c r="G314" s="1">
        <v>2017</v>
      </c>
      <c r="H314" s="1" t="s">
        <v>2898</v>
      </c>
      <c r="I314" s="1" t="s">
        <v>2899</v>
      </c>
      <c r="J314" s="1" t="s">
        <v>2900</v>
      </c>
      <c r="K314" s="1" t="s">
        <v>2900</v>
      </c>
      <c r="L314" s="1"/>
      <c r="M314" s="1" t="s">
        <v>2901</v>
      </c>
      <c r="N314" s="5" t="str">
        <f>HYPERLINK("https://www.google.com/maps/search/?api=1&amp;query=137-45 Bedell Street, Springfield Gardens, NY 11413", "OPEN MAP")</f>
        <v>OPEN MAP</v>
      </c>
      <c r="O314" s="1" t="s">
        <v>2901</v>
      </c>
      <c r="P314" s="1" t="s">
        <v>89</v>
      </c>
      <c r="Q314" s="1" t="s">
        <v>43</v>
      </c>
      <c r="R314" s="1">
        <v>11413</v>
      </c>
      <c r="S314" s="6" t="s">
        <v>2902</v>
      </c>
      <c r="T314" s="7">
        <v>311448.48</v>
      </c>
      <c r="U314" s="8">
        <v>45089</v>
      </c>
      <c r="V314" s="8"/>
      <c r="W314" s="7"/>
      <c r="X314" s="8"/>
      <c r="Y314" s="7"/>
      <c r="Z314" s="1"/>
      <c r="AA314" s="1" t="s">
        <v>2542</v>
      </c>
      <c r="AB314" s="1" t="s">
        <v>2903</v>
      </c>
      <c r="AC314" s="1"/>
      <c r="AD314" s="1" t="s">
        <v>1025</v>
      </c>
      <c r="AE314" s="1"/>
    </row>
    <row r="315" spans="1:31" x14ac:dyDescent="0.2">
      <c r="A315" s="9" t="s">
        <v>31</v>
      </c>
      <c r="B315" s="9"/>
      <c r="C315" s="10">
        <v>45954</v>
      </c>
      <c r="D315" s="9" t="s">
        <v>49</v>
      </c>
      <c r="E315" s="9"/>
      <c r="F315" s="11" t="s">
        <v>2904</v>
      </c>
      <c r="G315" s="9">
        <v>2008</v>
      </c>
      <c r="H315" s="9" t="s">
        <v>2905</v>
      </c>
      <c r="I315" s="9" t="s">
        <v>118</v>
      </c>
      <c r="J315" s="9" t="s">
        <v>2906</v>
      </c>
      <c r="K315" s="9" t="s">
        <v>2906</v>
      </c>
      <c r="L315" s="9"/>
      <c r="M315" s="9" t="s">
        <v>2907</v>
      </c>
      <c r="N315" s="12" t="str">
        <f>HYPERLINK("https://www.google.com/maps/search/?api=1&amp;query=137-23 Bedell Street, Queens, New York 11413", "OPEN MAP")</f>
        <v>OPEN MAP</v>
      </c>
      <c r="O315" s="9" t="s">
        <v>2908</v>
      </c>
      <c r="P315" s="9" t="s">
        <v>115</v>
      </c>
      <c r="Q315" s="9" t="s">
        <v>251</v>
      </c>
      <c r="R315" s="9">
        <v>11413</v>
      </c>
      <c r="S315" s="13" t="s">
        <v>2909</v>
      </c>
      <c r="T315" s="14"/>
      <c r="U315" s="15"/>
      <c r="V315" s="15">
        <v>38778</v>
      </c>
      <c r="W315" s="14">
        <v>381600</v>
      </c>
      <c r="X315" s="15"/>
      <c r="Y315" s="14"/>
      <c r="Z315" s="9" t="s">
        <v>2910</v>
      </c>
      <c r="AA315" s="9" t="s">
        <v>318</v>
      </c>
      <c r="AB315" s="9" t="s">
        <v>2911</v>
      </c>
      <c r="AC315" s="9" t="s">
        <v>256</v>
      </c>
      <c r="AD315" s="9"/>
      <c r="AE315" s="9"/>
    </row>
    <row r="316" spans="1:31" x14ac:dyDescent="0.2">
      <c r="A316" s="1" t="s">
        <v>31</v>
      </c>
      <c r="B316" s="1"/>
      <c r="C316" s="3">
        <v>45954</v>
      </c>
      <c r="D316" s="1" t="s">
        <v>49</v>
      </c>
      <c r="E316" s="1"/>
      <c r="F316" s="4" t="s">
        <v>2912</v>
      </c>
      <c r="G316" s="1">
        <v>2019</v>
      </c>
      <c r="H316" s="1" t="s">
        <v>2913</v>
      </c>
      <c r="I316" s="1" t="s">
        <v>2914</v>
      </c>
      <c r="J316" s="1" t="s">
        <v>2915</v>
      </c>
      <c r="K316" s="1" t="s">
        <v>2916</v>
      </c>
      <c r="L316" s="1" t="s">
        <v>2917</v>
      </c>
      <c r="M316" s="1" t="s">
        <v>2918</v>
      </c>
      <c r="N316" s="5" t="str">
        <f>HYPERLINK("https://www.google.com/maps/search/?api=1&amp;query=15029 YATES ROAD, JAMAICA, NEW YORK 11433", "OPEN MAP")</f>
        <v>OPEN MAP</v>
      </c>
      <c r="O316" s="1" t="s">
        <v>2919</v>
      </c>
      <c r="P316" s="1" t="s">
        <v>274</v>
      </c>
      <c r="Q316" s="1" t="s">
        <v>765</v>
      </c>
      <c r="R316" s="1">
        <v>11433</v>
      </c>
      <c r="S316" s="6" t="s">
        <v>2920</v>
      </c>
      <c r="T316" s="7"/>
      <c r="U316" s="8"/>
      <c r="V316" s="8">
        <v>40455</v>
      </c>
      <c r="W316" s="7">
        <v>637500</v>
      </c>
      <c r="X316" s="8"/>
      <c r="Y316" s="7"/>
      <c r="Z316" s="1" t="s">
        <v>1772</v>
      </c>
      <c r="AA316" s="1" t="s">
        <v>1024</v>
      </c>
      <c r="AB316" s="1" t="s">
        <v>768</v>
      </c>
      <c r="AC316" s="1" t="s">
        <v>769</v>
      </c>
      <c r="AD316" s="1"/>
      <c r="AE316" s="1"/>
    </row>
    <row r="317" spans="1:31" x14ac:dyDescent="0.2">
      <c r="A317" s="9" t="s">
        <v>31</v>
      </c>
      <c r="B317" s="9"/>
      <c r="C317" s="10">
        <v>45954</v>
      </c>
      <c r="D317" s="9" t="s">
        <v>49</v>
      </c>
      <c r="E317" s="9"/>
      <c r="F317" s="11" t="s">
        <v>2921</v>
      </c>
      <c r="G317" s="9">
        <v>2017</v>
      </c>
      <c r="H317" s="9" t="s">
        <v>2922</v>
      </c>
      <c r="I317" s="9" t="s">
        <v>1884</v>
      </c>
      <c r="J317" s="9" t="s">
        <v>2923</v>
      </c>
      <c r="K317" s="9" t="s">
        <v>2924</v>
      </c>
      <c r="L317" s="9" t="s">
        <v>2925</v>
      </c>
      <c r="M317" s="9" t="s">
        <v>2926</v>
      </c>
      <c r="N317" s="12" t="str">
        <f>HYPERLINK("https://www.google.com/maps/search/?api=1&amp;query=97-11 24TH AVENUE, EAST ELMHURST, NY 11369", "OPEN MAP")</f>
        <v>OPEN MAP</v>
      </c>
      <c r="O317" s="9" t="s">
        <v>2927</v>
      </c>
      <c r="P317" s="9" t="s">
        <v>58</v>
      </c>
      <c r="Q317" s="9" t="s">
        <v>43</v>
      </c>
      <c r="R317" s="9">
        <v>11369</v>
      </c>
      <c r="S317" s="13" t="s">
        <v>2928</v>
      </c>
      <c r="T317" s="14"/>
      <c r="U317" s="15">
        <v>45474</v>
      </c>
      <c r="V317" s="15"/>
      <c r="W317" s="14"/>
      <c r="X317" s="15"/>
      <c r="Y317" s="14"/>
      <c r="Z317" s="9" t="s">
        <v>2929</v>
      </c>
      <c r="AA317" s="9" t="s">
        <v>60</v>
      </c>
      <c r="AB317" s="9" t="s">
        <v>61</v>
      </c>
      <c r="AC317" s="9"/>
      <c r="AD317" s="9" t="s">
        <v>2929</v>
      </c>
      <c r="AE317" s="9"/>
    </row>
    <row r="318" spans="1:31" x14ac:dyDescent="0.2">
      <c r="A318" s="1" t="s">
        <v>31</v>
      </c>
      <c r="B318" s="1"/>
      <c r="C318" s="3">
        <v>45954</v>
      </c>
      <c r="D318" s="1" t="s">
        <v>49</v>
      </c>
      <c r="E318" s="1"/>
      <c r="F318" s="4" t="s">
        <v>2930</v>
      </c>
      <c r="G318" s="1">
        <v>2024</v>
      </c>
      <c r="H318" s="1" t="s">
        <v>2931</v>
      </c>
      <c r="I318" s="1" t="s">
        <v>2932</v>
      </c>
      <c r="J318" s="1" t="s">
        <v>2933</v>
      </c>
      <c r="K318" s="1" t="s">
        <v>2934</v>
      </c>
      <c r="L318" s="1" t="s">
        <v>2935</v>
      </c>
      <c r="M318" s="1" t="s">
        <v>2936</v>
      </c>
      <c r="N318" s="5" t="str">
        <f>HYPERLINK("https://www.google.com/maps/search/?api=1&amp;query=102-40 Jamaica Avenue, Queens NY 11418", "OPEN MAP")</f>
        <v>OPEN MAP</v>
      </c>
      <c r="O318" s="1" t="s">
        <v>2937</v>
      </c>
      <c r="P318" s="1" t="s">
        <v>115</v>
      </c>
      <c r="Q318" s="1" t="s">
        <v>43</v>
      </c>
      <c r="R318" s="1">
        <v>11418</v>
      </c>
      <c r="S318" s="6" t="s">
        <v>2938</v>
      </c>
      <c r="T318" s="7"/>
      <c r="U318" s="8"/>
      <c r="V318" s="8">
        <v>38393</v>
      </c>
      <c r="W318" s="7">
        <v>152500</v>
      </c>
      <c r="X318" s="8">
        <v>44837</v>
      </c>
      <c r="Y318" s="7">
        <v>387000</v>
      </c>
      <c r="Z318" s="1" t="s">
        <v>2939</v>
      </c>
      <c r="AA318" s="1"/>
      <c r="AB318" s="1" t="s">
        <v>2940</v>
      </c>
      <c r="AC318" s="1" t="s">
        <v>2941</v>
      </c>
      <c r="AD318" s="1"/>
      <c r="AE318" s="1"/>
    </row>
    <row r="319" spans="1:31" x14ac:dyDescent="0.2">
      <c r="A319" s="9" t="s">
        <v>31</v>
      </c>
      <c r="B319" s="9"/>
      <c r="C319" s="10">
        <v>45954</v>
      </c>
      <c r="D319" s="9" t="s">
        <v>49</v>
      </c>
      <c r="E319" s="9"/>
      <c r="F319" s="11" t="s">
        <v>2942</v>
      </c>
      <c r="G319" s="9">
        <v>2022</v>
      </c>
      <c r="H319" s="9" t="s">
        <v>2943</v>
      </c>
      <c r="I319" s="9" t="s">
        <v>2774</v>
      </c>
      <c r="J319" s="9" t="s">
        <v>2944</v>
      </c>
      <c r="K319" s="9" t="s">
        <v>2945</v>
      </c>
      <c r="L319" s="9" t="s">
        <v>2946</v>
      </c>
      <c r="M319" s="9" t="s">
        <v>2947</v>
      </c>
      <c r="N319" s="12" t="str">
        <f>HYPERLINK("https://www.google.com/maps/search/?api=1&amp;query=12001 170TH STREET, JAMAICA, NEW YORK 11434", "OPEN MAP")</f>
        <v>OPEN MAP</v>
      </c>
      <c r="O319" s="9" t="s">
        <v>2948</v>
      </c>
      <c r="P319" s="9" t="s">
        <v>274</v>
      </c>
      <c r="Q319" s="9" t="s">
        <v>765</v>
      </c>
      <c r="R319" s="9">
        <v>11434</v>
      </c>
      <c r="S319" s="13" t="s">
        <v>2949</v>
      </c>
      <c r="T319" s="14"/>
      <c r="U319" s="15"/>
      <c r="V319" s="15">
        <v>43732</v>
      </c>
      <c r="W319" s="14">
        <v>888608</v>
      </c>
      <c r="X319" s="15"/>
      <c r="Y319" s="14"/>
      <c r="Z319" s="9" t="s">
        <v>1833</v>
      </c>
      <c r="AA319" s="9" t="s">
        <v>60</v>
      </c>
      <c r="AB319" s="9" t="s">
        <v>768</v>
      </c>
      <c r="AC319" s="9" t="s">
        <v>769</v>
      </c>
      <c r="AD319" s="9"/>
      <c r="AE319" s="9"/>
    </row>
    <row r="320" spans="1:31" x14ac:dyDescent="0.2">
      <c r="A320" s="1" t="s">
        <v>31</v>
      </c>
      <c r="B320" s="1"/>
      <c r="C320" s="3">
        <v>45954</v>
      </c>
      <c r="D320" s="1" t="s">
        <v>49</v>
      </c>
      <c r="E320" s="1"/>
      <c r="F320" s="4" t="s">
        <v>2950</v>
      </c>
      <c r="G320" s="1">
        <v>2015</v>
      </c>
      <c r="H320" s="1" t="s">
        <v>2951</v>
      </c>
      <c r="I320" s="1" t="s">
        <v>2952</v>
      </c>
      <c r="J320" s="1" t="s">
        <v>2953</v>
      </c>
      <c r="K320" s="1" t="s">
        <v>2954</v>
      </c>
      <c r="L320" s="1" t="s">
        <v>2955</v>
      </c>
      <c r="M320" s="1" t="s">
        <v>2956</v>
      </c>
      <c r="N320" s="5" t="str">
        <f>HYPERLINK("https://www.google.com/maps/search/?api=1&amp;query=191-37 Murdock Street, St. Albans, New York 11412", "OPEN MAP")</f>
        <v>OPEN MAP</v>
      </c>
      <c r="O320" s="1" t="s">
        <v>2957</v>
      </c>
      <c r="P320" s="1" t="s">
        <v>828</v>
      </c>
      <c r="Q320" s="1" t="s">
        <v>251</v>
      </c>
      <c r="R320" s="1">
        <v>11412</v>
      </c>
      <c r="S320" s="6"/>
      <c r="T320" s="7"/>
      <c r="U320" s="8"/>
      <c r="V320" s="8"/>
      <c r="W320" s="7"/>
      <c r="X320" s="8"/>
      <c r="Y320" s="7"/>
      <c r="Z320" s="1" t="s">
        <v>2958</v>
      </c>
      <c r="AA320" s="1" t="s">
        <v>2959</v>
      </c>
      <c r="AB320" s="1" t="s">
        <v>2960</v>
      </c>
      <c r="AC320" s="1" t="s">
        <v>2961</v>
      </c>
      <c r="AD320" s="1"/>
      <c r="AE320" s="1"/>
    </row>
    <row r="321" spans="1:31" x14ac:dyDescent="0.2">
      <c r="A321" s="9" t="s">
        <v>31</v>
      </c>
      <c r="B321" s="9"/>
      <c r="C321" s="10">
        <v>45961</v>
      </c>
      <c r="D321" s="9" t="s">
        <v>49</v>
      </c>
      <c r="E321" s="9"/>
      <c r="F321" s="11" t="s">
        <v>2962</v>
      </c>
      <c r="G321" s="9">
        <v>2017</v>
      </c>
      <c r="H321" s="9" t="s">
        <v>2963</v>
      </c>
      <c r="I321" s="9" t="s">
        <v>2964</v>
      </c>
      <c r="J321" s="9" t="s">
        <v>2965</v>
      </c>
      <c r="K321" s="9" t="s">
        <v>2966</v>
      </c>
      <c r="L321" s="9" t="s">
        <v>2967</v>
      </c>
      <c r="M321" s="9" t="s">
        <v>2968</v>
      </c>
      <c r="N321" s="12" t="str">
        <f>HYPERLINK("https://www.google.com/maps/search/?api=1&amp;query=24005 147TH AVENUE, ROSEDALE, NY 11422", "OPEN MAP")</f>
        <v>OPEN MAP</v>
      </c>
      <c r="O321" s="9" t="s">
        <v>2969</v>
      </c>
      <c r="P321" s="9" t="s">
        <v>1688</v>
      </c>
      <c r="Q321" s="9" t="s">
        <v>43</v>
      </c>
      <c r="R321" s="9">
        <v>11422</v>
      </c>
      <c r="S321" s="13" t="s">
        <v>2970</v>
      </c>
      <c r="T321" s="14"/>
      <c r="U321" s="15">
        <v>44650</v>
      </c>
      <c r="V321" s="15"/>
      <c r="W321" s="14"/>
      <c r="X321" s="15"/>
      <c r="Y321" s="14"/>
      <c r="Z321" s="9" t="s">
        <v>1544</v>
      </c>
      <c r="AA321" s="9" t="s">
        <v>60</v>
      </c>
      <c r="AB321" s="9" t="s">
        <v>61</v>
      </c>
      <c r="AC321" s="9"/>
      <c r="AD321" s="9"/>
      <c r="AE321" s="9"/>
    </row>
    <row r="322" spans="1:31" x14ac:dyDescent="0.2">
      <c r="A322" s="1" t="s">
        <v>31</v>
      </c>
      <c r="B322" s="1"/>
      <c r="C322" s="3">
        <v>45961</v>
      </c>
      <c r="D322" s="1" t="s">
        <v>49</v>
      </c>
      <c r="E322" s="1"/>
      <c r="F322" s="4" t="s">
        <v>2971</v>
      </c>
      <c r="G322" s="1">
        <v>2018</v>
      </c>
      <c r="H322" s="1" t="s">
        <v>2972</v>
      </c>
      <c r="I322" s="1" t="s">
        <v>2973</v>
      </c>
      <c r="J322" s="1" t="s">
        <v>2974</v>
      </c>
      <c r="K322" s="1" t="s">
        <v>2975</v>
      </c>
      <c r="L322" s="1" t="s">
        <v>2976</v>
      </c>
      <c r="M322" s="1" t="s">
        <v>2977</v>
      </c>
      <c r="N322" s="5" t="str">
        <f>HYPERLINK("https://www.google.com/maps/search/?api=1&amp;query=221-22 107th Avenue Queens Village, NY 11429", "OPEN MAP")</f>
        <v>OPEN MAP</v>
      </c>
      <c r="O322" s="1" t="s">
        <v>2978</v>
      </c>
      <c r="P322" s="1" t="s">
        <v>178</v>
      </c>
      <c r="Q322" s="1" t="s">
        <v>43</v>
      </c>
      <c r="R322" s="1">
        <v>11429</v>
      </c>
      <c r="S322" s="6" t="s">
        <v>2979</v>
      </c>
      <c r="T322" s="7"/>
      <c r="U322" s="8"/>
      <c r="V322" s="8">
        <v>39751</v>
      </c>
      <c r="W322" s="7">
        <v>333056</v>
      </c>
      <c r="X322" s="8"/>
      <c r="Y322" s="7"/>
      <c r="Z322" s="1" t="s">
        <v>2980</v>
      </c>
      <c r="AA322" s="1" t="s">
        <v>2981</v>
      </c>
      <c r="AB322" s="1" t="s">
        <v>2982</v>
      </c>
      <c r="AC322" s="1" t="s">
        <v>2983</v>
      </c>
      <c r="AD322" s="1"/>
      <c r="AE322" s="1"/>
    </row>
    <row r="323" spans="1:31" x14ac:dyDescent="0.2">
      <c r="A323" s="9" t="s">
        <v>31</v>
      </c>
      <c r="B323" s="9"/>
      <c r="C323" s="10">
        <v>45961</v>
      </c>
      <c r="D323" s="9" t="s">
        <v>49</v>
      </c>
      <c r="E323" s="9"/>
      <c r="F323" s="11" t="s">
        <v>2984</v>
      </c>
      <c r="G323" s="9">
        <v>2018</v>
      </c>
      <c r="H323" s="9" t="s">
        <v>2985</v>
      </c>
      <c r="I323" s="9" t="s">
        <v>2986</v>
      </c>
      <c r="J323" s="9" t="s">
        <v>2987</v>
      </c>
      <c r="K323" s="9" t="s">
        <v>2988</v>
      </c>
      <c r="L323" s="9" t="s">
        <v>2989</v>
      </c>
      <c r="M323" s="9" t="s">
        <v>2990</v>
      </c>
      <c r="N323" s="12" t="str">
        <f>HYPERLINK("https://www.google.com/maps/search/?api=1&amp;query=123-20 IRWIN PLACE, JAMAICA, NEW YORK 11434", "OPEN MAP")</f>
        <v>OPEN MAP</v>
      </c>
      <c r="O323" s="9" t="s">
        <v>2991</v>
      </c>
      <c r="P323" s="9" t="s">
        <v>274</v>
      </c>
      <c r="Q323" s="9" t="s">
        <v>765</v>
      </c>
      <c r="R323" s="9">
        <v>11434</v>
      </c>
      <c r="S323" s="13" t="s">
        <v>2992</v>
      </c>
      <c r="T323" s="14"/>
      <c r="U323" s="15"/>
      <c r="V323" s="15">
        <v>39017</v>
      </c>
      <c r="W323" s="14">
        <v>388000</v>
      </c>
      <c r="X323" s="15"/>
      <c r="Y323" s="14"/>
      <c r="Z323" s="9" t="s">
        <v>1833</v>
      </c>
      <c r="AA323" s="9" t="s">
        <v>1024</v>
      </c>
      <c r="AB323" s="9" t="s">
        <v>768</v>
      </c>
      <c r="AC323" s="9" t="s">
        <v>769</v>
      </c>
      <c r="AD323" s="9"/>
      <c r="AE323" s="9"/>
    </row>
    <row r="324" spans="1:31" x14ac:dyDescent="0.2">
      <c r="A324" s="1" t="s">
        <v>31</v>
      </c>
      <c r="B324" s="1"/>
      <c r="C324" s="3">
        <v>45961</v>
      </c>
      <c r="D324" s="1" t="s">
        <v>49</v>
      </c>
      <c r="E324" s="1"/>
      <c r="F324" s="4" t="s">
        <v>2993</v>
      </c>
      <c r="G324" s="1">
        <v>2021</v>
      </c>
      <c r="H324" s="1" t="s">
        <v>2994</v>
      </c>
      <c r="I324" s="1" t="s">
        <v>912</v>
      </c>
      <c r="J324" s="1" t="s">
        <v>2995</v>
      </c>
      <c r="K324" s="1" t="s">
        <v>2995</v>
      </c>
      <c r="L324" s="1"/>
      <c r="M324" s="1" t="s">
        <v>2996</v>
      </c>
      <c r="N324" s="5" t="str">
        <f>HYPERLINK("https://www.google.com/maps/search/?api=1&amp;query=90-23 184TH STREET, HOLLIS, NY 11423", "OPEN MAP")</f>
        <v>OPEN MAP</v>
      </c>
      <c r="O324" s="1" t="s">
        <v>2997</v>
      </c>
      <c r="P324" s="1" t="s">
        <v>80</v>
      </c>
      <c r="Q324" s="1" t="s">
        <v>43</v>
      </c>
      <c r="R324" s="1">
        <v>11423</v>
      </c>
      <c r="S324" s="6" t="s">
        <v>2998</v>
      </c>
      <c r="T324" s="7"/>
      <c r="U324" s="8">
        <v>45510</v>
      </c>
      <c r="V324" s="8"/>
      <c r="W324" s="7"/>
      <c r="X324" s="8"/>
      <c r="Y324" s="7"/>
      <c r="Z324" s="1"/>
      <c r="AA324" s="1" t="s">
        <v>60</v>
      </c>
      <c r="AB324" s="1" t="s">
        <v>61</v>
      </c>
      <c r="AC324" s="1"/>
      <c r="AD324" s="1" t="s">
        <v>1544</v>
      </c>
      <c r="AE324" s="1"/>
    </row>
    <row r="325" spans="1:31" x14ac:dyDescent="0.2">
      <c r="A325" s="9" t="s">
        <v>31</v>
      </c>
      <c r="B325" s="9"/>
      <c r="C325" s="10">
        <v>45961</v>
      </c>
      <c r="D325" s="9" t="s">
        <v>49</v>
      </c>
      <c r="E325" s="9"/>
      <c r="F325" s="11" t="s">
        <v>2999</v>
      </c>
      <c r="G325" s="9">
        <v>2023</v>
      </c>
      <c r="H325" s="9" t="s">
        <v>3000</v>
      </c>
      <c r="I325" s="9" t="s">
        <v>2659</v>
      </c>
      <c r="J325" s="9" t="s">
        <v>3001</v>
      </c>
      <c r="K325" s="9" t="s">
        <v>3002</v>
      </c>
      <c r="L325" s="9"/>
      <c r="M325" s="9" t="s">
        <v>3003</v>
      </c>
      <c r="N325" s="12" t="str">
        <f>HYPERLINK("https://www.google.com/maps/search/?api=1&amp;query=25-45 97TH STREET, EAST ELMHURST, NEW YORK 11369", "OPEN MAP")</f>
        <v>OPEN MAP</v>
      </c>
      <c r="O325" s="9" t="s">
        <v>3004</v>
      </c>
      <c r="P325" s="9" t="s">
        <v>58</v>
      </c>
      <c r="Q325" s="9" t="s">
        <v>765</v>
      </c>
      <c r="R325" s="9">
        <v>11369</v>
      </c>
      <c r="S325" s="13" t="s">
        <v>3005</v>
      </c>
      <c r="T325" s="14"/>
      <c r="U325" s="15"/>
      <c r="V325" s="15">
        <v>42391</v>
      </c>
      <c r="W325" s="14">
        <v>832500</v>
      </c>
      <c r="X325" s="15"/>
      <c r="Y325" s="14"/>
      <c r="Z325" s="9" t="s">
        <v>1833</v>
      </c>
      <c r="AA325" s="9" t="s">
        <v>60</v>
      </c>
      <c r="AB325" s="9" t="s">
        <v>768</v>
      </c>
      <c r="AC325" s="9" t="s">
        <v>769</v>
      </c>
      <c r="AD325" s="9"/>
      <c r="AE325" s="9"/>
    </row>
    <row r="326" spans="1:31" x14ac:dyDescent="0.2">
      <c r="A326" s="1" t="s">
        <v>31</v>
      </c>
      <c r="B326" s="1"/>
      <c r="C326" s="3">
        <v>45968</v>
      </c>
      <c r="D326" s="1" t="s">
        <v>49</v>
      </c>
      <c r="E326" s="1"/>
      <c r="F326" s="4" t="s">
        <v>3006</v>
      </c>
      <c r="G326" s="1">
        <v>2016</v>
      </c>
      <c r="H326" s="1" t="s">
        <v>3007</v>
      </c>
      <c r="I326" s="1" t="s">
        <v>2876</v>
      </c>
      <c r="J326" s="1" t="s">
        <v>3008</v>
      </c>
      <c r="K326" s="1" t="s">
        <v>3008</v>
      </c>
      <c r="L326" s="1"/>
      <c r="M326" s="1" t="s">
        <v>3009</v>
      </c>
      <c r="N326" s="5" t="str">
        <f>HYPERLINK("https://www.google.com/maps/search/?api=1&amp;query=85-47 168TH PLACE, JAMAICA, NY 11432", "OPEN MAP")</f>
        <v>OPEN MAP</v>
      </c>
      <c r="O326" s="1" t="s">
        <v>3010</v>
      </c>
      <c r="P326" s="1" t="s">
        <v>274</v>
      </c>
      <c r="Q326" s="1" t="s">
        <v>43</v>
      </c>
      <c r="R326" s="1">
        <v>11432</v>
      </c>
      <c r="S326" s="6" t="s">
        <v>3011</v>
      </c>
      <c r="T326" s="7"/>
      <c r="U326" s="8">
        <v>44610</v>
      </c>
      <c r="V326" s="8"/>
      <c r="W326" s="7"/>
      <c r="X326" s="8"/>
      <c r="Y326" s="7"/>
      <c r="Z326" s="1"/>
      <c r="AA326" s="1" t="s">
        <v>60</v>
      </c>
      <c r="AB326" s="1" t="s">
        <v>61</v>
      </c>
      <c r="AC326" s="1"/>
      <c r="AD326" s="1" t="s">
        <v>310</v>
      </c>
      <c r="AE326" s="1"/>
    </row>
    <row r="327" spans="1:31" x14ac:dyDescent="0.2">
      <c r="A327" s="9" t="s">
        <v>115</v>
      </c>
      <c r="B327" s="9"/>
      <c r="C327" s="10">
        <v>45968</v>
      </c>
      <c r="D327" s="9" t="s">
        <v>49</v>
      </c>
      <c r="E327" s="9"/>
      <c r="F327" s="11" t="s">
        <v>3012</v>
      </c>
      <c r="G327" s="9">
        <v>2020</v>
      </c>
      <c r="H327" s="9" t="s">
        <v>3013</v>
      </c>
      <c r="I327" s="9" t="s">
        <v>194</v>
      </c>
      <c r="J327" s="9" t="s">
        <v>3014</v>
      </c>
      <c r="K327" s="9" t="s">
        <v>3015</v>
      </c>
      <c r="L327" s="9" t="s">
        <v>3016</v>
      </c>
      <c r="M327" s="9" t="s">
        <v>3017</v>
      </c>
      <c r="N327" s="12" t="str">
        <f>HYPERLINK("https://www.google.com/maps/search/?api=1&amp;query=219-08 131st Avenue, Laurelton, NY 11413", "OPEN MAP")</f>
        <v>OPEN MAP</v>
      </c>
      <c r="O327" s="9" t="s">
        <v>3018</v>
      </c>
      <c r="P327" s="9" t="s">
        <v>1033</v>
      </c>
      <c r="Q327" s="9" t="s">
        <v>43</v>
      </c>
      <c r="R327" s="9">
        <v>11413</v>
      </c>
      <c r="S327" s="13" t="s">
        <v>3019</v>
      </c>
      <c r="T327" s="14">
        <v>389359.37</v>
      </c>
      <c r="U327" s="15">
        <v>42696</v>
      </c>
      <c r="V327" s="15"/>
      <c r="W327" s="14"/>
      <c r="X327" s="15"/>
      <c r="Y327" s="14"/>
      <c r="Z327" s="9"/>
      <c r="AA327" s="9" t="s">
        <v>126</v>
      </c>
      <c r="AB327" s="9" t="s">
        <v>199</v>
      </c>
      <c r="AC327" s="9" t="s">
        <v>128</v>
      </c>
      <c r="AD327" s="9" t="s">
        <v>3020</v>
      </c>
      <c r="AE327" s="9"/>
    </row>
    <row r="328" spans="1:31" x14ac:dyDescent="0.2">
      <c r="A328" s="1" t="s">
        <v>31</v>
      </c>
      <c r="B328" s="1"/>
      <c r="C328" s="3">
        <v>45968</v>
      </c>
      <c r="D328" s="1" t="s">
        <v>49</v>
      </c>
      <c r="E328" s="1"/>
      <c r="F328" s="4" t="s">
        <v>3021</v>
      </c>
      <c r="G328" s="1">
        <v>2017</v>
      </c>
      <c r="H328" s="1" t="s">
        <v>3022</v>
      </c>
      <c r="I328" s="1" t="s">
        <v>1884</v>
      </c>
      <c r="J328" s="1" t="s">
        <v>3023</v>
      </c>
      <c r="K328" s="1" t="s">
        <v>3023</v>
      </c>
      <c r="L328" s="1"/>
      <c r="M328" s="1" t="s">
        <v>3024</v>
      </c>
      <c r="N328" s="5" t="str">
        <f>HYPERLINK("https://www.google.com/maps/search/?api=1&amp;query=119 43 200TH STREET, SAINT ALBANS, NY 11412", "OPEN MAP")</f>
        <v>OPEN MAP</v>
      </c>
      <c r="O328" s="1" t="s">
        <v>3025</v>
      </c>
      <c r="P328" s="1" t="s">
        <v>1253</v>
      </c>
      <c r="Q328" s="1" t="s">
        <v>43</v>
      </c>
      <c r="R328" s="1">
        <v>11412</v>
      </c>
      <c r="S328" s="6" t="s">
        <v>3026</v>
      </c>
      <c r="T328" s="7"/>
      <c r="U328" s="8">
        <v>45189</v>
      </c>
      <c r="V328" s="8"/>
      <c r="W328" s="7"/>
      <c r="X328" s="8"/>
      <c r="Y328" s="7"/>
      <c r="Z328" s="1"/>
      <c r="AA328" s="1" t="s">
        <v>60</v>
      </c>
      <c r="AB328" s="1" t="s">
        <v>61</v>
      </c>
      <c r="AC328" s="1"/>
      <c r="AD328" s="1" t="s">
        <v>3027</v>
      </c>
      <c r="AE328" s="1"/>
    </row>
    <row r="329" spans="1:31" x14ac:dyDescent="0.2">
      <c r="A329" s="9" t="s">
        <v>31</v>
      </c>
      <c r="B329" s="9"/>
      <c r="C329" s="10">
        <v>45968</v>
      </c>
      <c r="D329" s="9" t="s">
        <v>49</v>
      </c>
      <c r="E329" s="9"/>
      <c r="F329" s="11" t="s">
        <v>3028</v>
      </c>
      <c r="G329" s="9">
        <v>2010</v>
      </c>
      <c r="H329" s="9" t="s">
        <v>3029</v>
      </c>
      <c r="I329" s="9" t="s">
        <v>2876</v>
      </c>
      <c r="J329" s="9" t="s">
        <v>3030</v>
      </c>
      <c r="K329" s="9" t="s">
        <v>3030</v>
      </c>
      <c r="L329" s="9"/>
      <c r="M329" s="9" t="s">
        <v>3031</v>
      </c>
      <c r="N329" s="12" t="str">
        <f>HYPERLINK("https://www.google.com/maps/search/?api=1&amp;query=1620 150TH STREET, WHITESTONE, NY 11357", "OPEN MAP")</f>
        <v>OPEN MAP</v>
      </c>
      <c r="O329" s="9" t="s">
        <v>3032</v>
      </c>
      <c r="P329" s="9" t="s">
        <v>3033</v>
      </c>
      <c r="Q329" s="9" t="s">
        <v>43</v>
      </c>
      <c r="R329" s="9">
        <v>11357</v>
      </c>
      <c r="S329" s="13" t="s">
        <v>3034</v>
      </c>
      <c r="T329" s="14"/>
      <c r="U329" s="15">
        <v>43467</v>
      </c>
      <c r="V329" s="15"/>
      <c r="W329" s="14"/>
      <c r="X329" s="15"/>
      <c r="Y329" s="14"/>
      <c r="Z329" s="9"/>
      <c r="AA329" s="9" t="s">
        <v>60</v>
      </c>
      <c r="AB329" s="9" t="s">
        <v>3035</v>
      </c>
      <c r="AC329" s="9"/>
      <c r="AD329" s="9" t="s">
        <v>3036</v>
      </c>
      <c r="AE329" s="9"/>
    </row>
    <row r="330" spans="1:31" x14ac:dyDescent="0.2">
      <c r="A330" s="1" t="s">
        <v>115</v>
      </c>
      <c r="B330" s="1"/>
      <c r="C330" s="3">
        <v>45968</v>
      </c>
      <c r="D330" s="1" t="s">
        <v>49</v>
      </c>
      <c r="E330" s="1"/>
      <c r="F330" s="4" t="s">
        <v>3037</v>
      </c>
      <c r="G330" s="1">
        <v>2013</v>
      </c>
      <c r="H330" s="1" t="s">
        <v>3038</v>
      </c>
      <c r="I330" s="1" t="s">
        <v>3039</v>
      </c>
      <c r="J330" s="1" t="s">
        <v>3040</v>
      </c>
      <c r="K330" s="1" t="s">
        <v>3041</v>
      </c>
      <c r="L330" s="1" t="s">
        <v>3042</v>
      </c>
      <c r="M330" s="1" t="s">
        <v>3043</v>
      </c>
      <c r="N330" s="5" t="str">
        <f>HYPERLINK("https://www.google.com/maps/search/?api=1&amp;query=131-43 227 Street, Laurelton, New York 11413", "OPEN MAP")</f>
        <v>OPEN MAP</v>
      </c>
      <c r="O330" s="1" t="s">
        <v>3044</v>
      </c>
      <c r="P330" s="1" t="s">
        <v>1033</v>
      </c>
      <c r="Q330" s="1" t="s">
        <v>251</v>
      </c>
      <c r="R330" s="1">
        <v>11413</v>
      </c>
      <c r="S330" s="6" t="s">
        <v>3045</v>
      </c>
      <c r="T330" s="7"/>
      <c r="U330" s="8"/>
      <c r="V330" s="8">
        <v>38187</v>
      </c>
      <c r="W330" s="7">
        <v>290319</v>
      </c>
      <c r="X330" s="8"/>
      <c r="Y330" s="7"/>
      <c r="Z330" s="1" t="s">
        <v>359</v>
      </c>
      <c r="AA330" s="1" t="s">
        <v>581</v>
      </c>
      <c r="AB330" s="1" t="s">
        <v>3046</v>
      </c>
      <c r="AC330" s="1" t="s">
        <v>583</v>
      </c>
      <c r="AD330" s="1"/>
      <c r="AE330" s="1"/>
    </row>
    <row r="331" spans="1:31" x14ac:dyDescent="0.2">
      <c r="A331" s="9" t="s">
        <v>31</v>
      </c>
      <c r="B331" s="9"/>
      <c r="C331" s="10">
        <v>45968</v>
      </c>
      <c r="D331" s="9" t="s">
        <v>49</v>
      </c>
      <c r="E331" s="9"/>
      <c r="F331" s="11" t="s">
        <v>3047</v>
      </c>
      <c r="G331" s="9">
        <v>2009</v>
      </c>
      <c r="H331" s="9" t="s">
        <v>3048</v>
      </c>
      <c r="I331" s="9" t="s">
        <v>3049</v>
      </c>
      <c r="J331" s="9" t="s">
        <v>3050</v>
      </c>
      <c r="K331" s="9" t="s">
        <v>3050</v>
      </c>
      <c r="L331" s="9"/>
      <c r="M331" s="9" t="s">
        <v>3051</v>
      </c>
      <c r="N331" s="12" t="str">
        <f>HYPERLINK("https://www.google.com/maps/search/?api=1&amp;query=130-46 217TH ST, SPRINGFIELD GARDENS, NEW YORK 11413", "OPEN MAP")</f>
        <v>OPEN MAP</v>
      </c>
      <c r="O331" s="9" t="s">
        <v>3052</v>
      </c>
      <c r="P331" s="9" t="s">
        <v>858</v>
      </c>
      <c r="Q331" s="9" t="s">
        <v>765</v>
      </c>
      <c r="R331" s="9">
        <v>11413</v>
      </c>
      <c r="S331" s="13" t="s">
        <v>3053</v>
      </c>
      <c r="T331" s="14"/>
      <c r="U331" s="15"/>
      <c r="V331" s="15">
        <v>38009</v>
      </c>
      <c r="W331" s="14">
        <v>435478.5</v>
      </c>
      <c r="X331" s="15"/>
      <c r="Y331" s="14"/>
      <c r="Z331" s="9" t="s">
        <v>2858</v>
      </c>
      <c r="AA331" s="9" t="s">
        <v>60</v>
      </c>
      <c r="AB331" s="9" t="s">
        <v>768</v>
      </c>
      <c r="AC331" s="9" t="s">
        <v>3054</v>
      </c>
      <c r="AD331" s="9"/>
      <c r="AE331" s="9"/>
    </row>
    <row r="332" spans="1:31" x14ac:dyDescent="0.2">
      <c r="A332" s="1" t="s">
        <v>115</v>
      </c>
      <c r="B332" s="1"/>
      <c r="C332" s="3">
        <v>45968</v>
      </c>
      <c r="D332" s="1" t="s">
        <v>49</v>
      </c>
      <c r="E332" s="1"/>
      <c r="F332" s="4" t="s">
        <v>3055</v>
      </c>
      <c r="G332" s="1">
        <v>2013</v>
      </c>
      <c r="H332" s="1" t="s">
        <v>3056</v>
      </c>
      <c r="I332" s="1" t="s">
        <v>194</v>
      </c>
      <c r="J332" s="1" t="s">
        <v>3057</v>
      </c>
      <c r="K332" s="1" t="s">
        <v>3057</v>
      </c>
      <c r="L332" s="1"/>
      <c r="M332" s="1" t="s">
        <v>3058</v>
      </c>
      <c r="N332" s="5" t="str">
        <f>HYPERLINK("https://www.google.com/maps/search/?api=1&amp;query=132-09 115th Avenue, Jamaica, NY 11420", "OPEN MAP")</f>
        <v>OPEN MAP</v>
      </c>
      <c r="O332" s="1" t="s">
        <v>3059</v>
      </c>
      <c r="P332" s="1" t="s">
        <v>42</v>
      </c>
      <c r="Q332" s="1" t="s">
        <v>43</v>
      </c>
      <c r="R332" s="1">
        <v>11420</v>
      </c>
      <c r="S332" s="6" t="s">
        <v>3060</v>
      </c>
      <c r="T332" s="7">
        <v>403311.04</v>
      </c>
      <c r="U332" s="8">
        <v>42787</v>
      </c>
      <c r="V332" s="8"/>
      <c r="W332" s="7"/>
      <c r="X332" s="8"/>
      <c r="Y332" s="7"/>
      <c r="Z332" s="1"/>
      <c r="AA332" s="1" t="s">
        <v>126</v>
      </c>
      <c r="AB332" s="1" t="s">
        <v>199</v>
      </c>
      <c r="AC332" s="1" t="s">
        <v>128</v>
      </c>
      <c r="AD332" s="1" t="s">
        <v>2694</v>
      </c>
      <c r="AE332" s="1"/>
    </row>
    <row r="333" spans="1:31" x14ac:dyDescent="0.2">
      <c r="A333" s="9" t="s">
        <v>31</v>
      </c>
      <c r="B333" s="9"/>
      <c r="C333" s="10">
        <v>45968</v>
      </c>
      <c r="D333" s="9" t="s">
        <v>49</v>
      </c>
      <c r="E333" s="9"/>
      <c r="F333" s="11" t="s">
        <v>3061</v>
      </c>
      <c r="G333" s="9">
        <v>2012</v>
      </c>
      <c r="H333" s="9" t="s">
        <v>3062</v>
      </c>
      <c r="I333" s="9" t="s">
        <v>3063</v>
      </c>
      <c r="J333" s="9" t="s">
        <v>3064</v>
      </c>
      <c r="K333" s="9" t="s">
        <v>3064</v>
      </c>
      <c r="L333" s="9"/>
      <c r="M333" s="9" t="s">
        <v>3065</v>
      </c>
      <c r="N333" s="12" t="str">
        <f>HYPERLINK("https://www.google.com/maps/search/?api=1&amp;query=87-72 112TH STREET, RICHMOND HILL, NY 11418", "OPEN MAP")</f>
        <v>OPEN MAP</v>
      </c>
      <c r="O333" s="9" t="s">
        <v>3066</v>
      </c>
      <c r="P333" s="9" t="s">
        <v>3067</v>
      </c>
      <c r="Q333" s="9" t="s">
        <v>43</v>
      </c>
      <c r="R333" s="9">
        <v>11418</v>
      </c>
      <c r="S333" s="13" t="s">
        <v>3068</v>
      </c>
      <c r="T333" s="14">
        <v>485869.04</v>
      </c>
      <c r="U333" s="15">
        <v>42914</v>
      </c>
      <c r="V333" s="15"/>
      <c r="W333" s="14"/>
      <c r="X333" s="15"/>
      <c r="Y333" s="14"/>
      <c r="Z333" s="9"/>
      <c r="AA333" s="9" t="s">
        <v>3069</v>
      </c>
      <c r="AB333" s="9" t="s">
        <v>3070</v>
      </c>
      <c r="AC333" s="9" t="s">
        <v>3071</v>
      </c>
      <c r="AD333" s="9" t="s">
        <v>3072</v>
      </c>
      <c r="AE333" s="9"/>
    </row>
    <row r="334" spans="1:31" x14ac:dyDescent="0.2">
      <c r="A334" s="1" t="s">
        <v>31</v>
      </c>
      <c r="B334" s="1"/>
      <c r="C334" s="3">
        <v>45968</v>
      </c>
      <c r="D334" s="1" t="s">
        <v>49</v>
      </c>
      <c r="E334" s="1"/>
      <c r="F334" s="4" t="s">
        <v>3073</v>
      </c>
      <c r="G334" s="1">
        <v>2018</v>
      </c>
      <c r="H334" s="1" t="s">
        <v>3074</v>
      </c>
      <c r="I334" s="1" t="s">
        <v>3075</v>
      </c>
      <c r="J334" s="1" t="s">
        <v>3076</v>
      </c>
      <c r="K334" s="1" t="s">
        <v>3076</v>
      </c>
      <c r="L334" s="1"/>
      <c r="M334" s="1" t="s">
        <v>3077</v>
      </c>
      <c r="N334" s="5" t="str">
        <f>HYPERLINK("https://www.google.com/maps/search/?api=1&amp;query=20641 46TH AVENUE, BAYSIDE, NEW YORK 11361", "OPEN MAP")</f>
        <v>OPEN MAP</v>
      </c>
      <c r="O334" s="1" t="s">
        <v>3078</v>
      </c>
      <c r="P334" s="1" t="s">
        <v>3079</v>
      </c>
      <c r="Q334" s="1" t="s">
        <v>765</v>
      </c>
      <c r="R334" s="1">
        <v>11361</v>
      </c>
      <c r="S334" s="6" t="s">
        <v>3080</v>
      </c>
      <c r="T334" s="7"/>
      <c r="U334" s="8"/>
      <c r="V334" s="8">
        <v>39934</v>
      </c>
      <c r="W334" s="7">
        <v>900000</v>
      </c>
      <c r="X334" s="8"/>
      <c r="Y334" s="7"/>
      <c r="Z334" s="1" t="s">
        <v>1772</v>
      </c>
      <c r="AA334" s="1" t="s">
        <v>1024</v>
      </c>
      <c r="AB334" s="1" t="s">
        <v>3081</v>
      </c>
      <c r="AC334" s="1" t="s">
        <v>769</v>
      </c>
      <c r="AD334" s="1"/>
      <c r="AE334" s="1"/>
    </row>
    <row r="335" spans="1:31" x14ac:dyDescent="0.2">
      <c r="A335" s="9" t="s">
        <v>31</v>
      </c>
      <c r="B335" s="9"/>
      <c r="C335" s="10">
        <v>45968</v>
      </c>
      <c r="D335" s="9" t="s">
        <v>49</v>
      </c>
      <c r="E335" s="9"/>
      <c r="F335" s="11" t="s">
        <v>3082</v>
      </c>
      <c r="G335" s="9">
        <v>2018</v>
      </c>
      <c r="H335" s="9" t="s">
        <v>3083</v>
      </c>
      <c r="I335" s="9" t="s">
        <v>3084</v>
      </c>
      <c r="J335" s="9" t="s">
        <v>3085</v>
      </c>
      <c r="K335" s="9" t="s">
        <v>3085</v>
      </c>
      <c r="L335" s="9"/>
      <c r="M335" s="9" t="s">
        <v>3086</v>
      </c>
      <c r="N335" s="12" t="str">
        <f>HYPERLINK("https://www.google.com/maps/search/?api=1&amp;query=221-31 114th Road, Jamaica, NY 11411", "OPEN MAP")</f>
        <v>OPEN MAP</v>
      </c>
      <c r="O335" s="9" t="s">
        <v>3087</v>
      </c>
      <c r="P335" s="9" t="s">
        <v>42</v>
      </c>
      <c r="Q335" s="9" t="s">
        <v>43</v>
      </c>
      <c r="R335" s="9">
        <v>11411</v>
      </c>
      <c r="S335" s="13" t="s">
        <v>3088</v>
      </c>
      <c r="T335" s="14">
        <v>315511.17</v>
      </c>
      <c r="U335" s="15">
        <v>45558</v>
      </c>
      <c r="V335" s="15"/>
      <c r="W335" s="14"/>
      <c r="X335" s="15"/>
      <c r="Y335" s="14"/>
      <c r="Z335" s="9"/>
      <c r="AA335" s="9" t="s">
        <v>1325</v>
      </c>
      <c r="AB335" s="9" t="s">
        <v>309</v>
      </c>
      <c r="AC335" s="9"/>
      <c r="AD335" s="9" t="s">
        <v>3089</v>
      </c>
      <c r="AE335" s="9"/>
    </row>
    <row r="336" spans="1:31" x14ac:dyDescent="0.2">
      <c r="A336" s="1" t="s">
        <v>31</v>
      </c>
      <c r="B336" s="1"/>
      <c r="C336" s="3">
        <v>45968</v>
      </c>
      <c r="D336" s="1" t="s">
        <v>49</v>
      </c>
      <c r="E336" s="1"/>
      <c r="F336" s="4" t="s">
        <v>3090</v>
      </c>
      <c r="G336" s="1">
        <v>2017</v>
      </c>
      <c r="H336" s="1" t="s">
        <v>3091</v>
      </c>
      <c r="I336" s="1" t="s">
        <v>3092</v>
      </c>
      <c r="J336" s="1" t="s">
        <v>3093</v>
      </c>
      <c r="K336" s="1" t="s">
        <v>3093</v>
      </c>
      <c r="L336" s="1"/>
      <c r="M336" s="1" t="s">
        <v>3094</v>
      </c>
      <c r="N336" s="5" t="str">
        <f>HYPERLINK("https://www.google.com/maps/search/?api=1&amp;query=21050 NASVILLE BOULEVARD, CAMBRIA HEIGHTS, NEW YORK 11411", "OPEN MAP")</f>
        <v>OPEN MAP</v>
      </c>
      <c r="O336" s="1" t="s">
        <v>3095</v>
      </c>
      <c r="P336" s="1" t="s">
        <v>375</v>
      </c>
      <c r="Q336" s="1" t="s">
        <v>765</v>
      </c>
      <c r="R336" s="1">
        <v>11411</v>
      </c>
      <c r="S336" s="6" t="s">
        <v>3096</v>
      </c>
      <c r="T336" s="7"/>
      <c r="U336" s="8"/>
      <c r="V336" s="8">
        <v>38861</v>
      </c>
      <c r="W336" s="7">
        <v>433712.43</v>
      </c>
      <c r="X336" s="8"/>
      <c r="Y336" s="7"/>
      <c r="Z336" s="1"/>
      <c r="AA336" s="1" t="s">
        <v>3097</v>
      </c>
      <c r="AB336" s="1" t="s">
        <v>3098</v>
      </c>
      <c r="AC336" s="1" t="s">
        <v>3099</v>
      </c>
      <c r="AD336" s="1"/>
      <c r="AE336" s="1"/>
    </row>
    <row r="337" spans="1:31" x14ac:dyDescent="0.2">
      <c r="A337" s="9" t="s">
        <v>115</v>
      </c>
      <c r="B337" s="9"/>
      <c r="C337" s="10">
        <v>45968</v>
      </c>
      <c r="D337" s="9" t="s">
        <v>49</v>
      </c>
      <c r="E337" s="9"/>
      <c r="F337" s="11" t="s">
        <v>3100</v>
      </c>
      <c r="G337" s="9">
        <v>2015</v>
      </c>
      <c r="H337" s="9" t="s">
        <v>3101</v>
      </c>
      <c r="I337" s="9" t="s">
        <v>3102</v>
      </c>
      <c r="J337" s="9" t="s">
        <v>3103</v>
      </c>
      <c r="K337" s="9" t="s">
        <v>3103</v>
      </c>
      <c r="L337" s="9"/>
      <c r="M337" s="9" t="s">
        <v>3104</v>
      </c>
      <c r="N337" s="12" t="str">
        <f>HYPERLINK("https://www.google.com/maps/search/?api=1&amp;query=11726 168th Street, Jamaica, NY 11434", "OPEN MAP")</f>
        <v>OPEN MAP</v>
      </c>
      <c r="O337" s="9" t="s">
        <v>3105</v>
      </c>
      <c r="P337" s="9" t="s">
        <v>42</v>
      </c>
      <c r="Q337" s="9" t="s">
        <v>43</v>
      </c>
      <c r="R337" s="9">
        <v>11434</v>
      </c>
      <c r="S337" s="13" t="s">
        <v>3106</v>
      </c>
      <c r="T337" s="14"/>
      <c r="U337" s="15"/>
      <c r="V337" s="15">
        <v>39154</v>
      </c>
      <c r="W337" s="14">
        <v>484800</v>
      </c>
      <c r="X337" s="15"/>
      <c r="Y337" s="14"/>
      <c r="Z337" s="9" t="s">
        <v>3107</v>
      </c>
      <c r="AA337" s="9" t="s">
        <v>3108</v>
      </c>
      <c r="AB337" s="9" t="s">
        <v>3109</v>
      </c>
      <c r="AC337" s="9" t="s">
        <v>1512</v>
      </c>
      <c r="AD337" s="9"/>
      <c r="AE337" s="9"/>
    </row>
    <row r="338" spans="1:31" x14ac:dyDescent="0.2">
      <c r="A338" s="1" t="s">
        <v>31</v>
      </c>
      <c r="B338" s="1"/>
      <c r="C338" s="3">
        <v>45968</v>
      </c>
      <c r="D338" s="1" t="s">
        <v>49</v>
      </c>
      <c r="E338" s="1"/>
      <c r="F338" s="4" t="s">
        <v>3110</v>
      </c>
      <c r="G338" s="1">
        <v>2019</v>
      </c>
      <c r="H338" s="1" t="s">
        <v>3111</v>
      </c>
      <c r="I338" s="1" t="s">
        <v>732</v>
      </c>
      <c r="J338" s="1" t="s">
        <v>3112</v>
      </c>
      <c r="K338" s="1" t="s">
        <v>3112</v>
      </c>
      <c r="L338" s="1"/>
      <c r="M338" s="1" t="s">
        <v>3113</v>
      </c>
      <c r="N338" s="5" t="str">
        <f>HYPERLINK("https://www.google.com/maps/search/?api=1&amp;query=19447 111TH ROAD, SAINT ALBANS, NY 11412", "OPEN MAP")</f>
        <v>OPEN MAP</v>
      </c>
      <c r="O338" s="1" t="s">
        <v>3114</v>
      </c>
      <c r="P338" s="1" t="s">
        <v>1253</v>
      </c>
      <c r="Q338" s="1" t="s">
        <v>43</v>
      </c>
      <c r="R338" s="1">
        <v>11412</v>
      </c>
      <c r="S338" s="6" t="s">
        <v>3115</v>
      </c>
      <c r="T338" s="7"/>
      <c r="U338" s="8">
        <v>45644</v>
      </c>
      <c r="V338" s="8"/>
      <c r="W338" s="7"/>
      <c r="X338" s="8"/>
      <c r="Y338" s="7"/>
      <c r="Z338" s="1"/>
      <c r="AA338" s="1" t="s">
        <v>60</v>
      </c>
      <c r="AB338" s="1" t="s">
        <v>61</v>
      </c>
      <c r="AC338" s="1"/>
      <c r="AD338" s="1" t="s">
        <v>2559</v>
      </c>
      <c r="AE338" s="1"/>
    </row>
    <row r="339" spans="1:31" x14ac:dyDescent="0.2">
      <c r="A339" s="9" t="s">
        <v>31</v>
      </c>
      <c r="B339" s="9"/>
      <c r="C339" s="10">
        <v>45968</v>
      </c>
      <c r="D339" s="9" t="s">
        <v>49</v>
      </c>
      <c r="E339" s="9"/>
      <c r="F339" s="11" t="s">
        <v>3116</v>
      </c>
      <c r="G339" s="9">
        <v>2022</v>
      </c>
      <c r="H339" s="9" t="s">
        <v>3117</v>
      </c>
      <c r="I339" s="9" t="s">
        <v>1504</v>
      </c>
      <c r="J339" s="9" t="s">
        <v>3118</v>
      </c>
      <c r="K339" s="9" t="s">
        <v>3118</v>
      </c>
      <c r="L339" s="9" t="s">
        <v>3119</v>
      </c>
      <c r="M339" s="9" t="s">
        <v>3120</v>
      </c>
      <c r="N339" s="12" t="str">
        <f>HYPERLINK("https://www.google.com/maps/search/?api=1&amp;query=147-23 230TH STREET, ROSEDALE, NEW YORK 11413", "OPEN MAP")</f>
        <v>OPEN MAP</v>
      </c>
      <c r="O339" s="9" t="s">
        <v>3121</v>
      </c>
      <c r="P339" s="9" t="s">
        <v>1688</v>
      </c>
      <c r="Q339" s="9" t="s">
        <v>765</v>
      </c>
      <c r="R339" s="9">
        <v>11413</v>
      </c>
      <c r="S339" s="13" t="s">
        <v>3122</v>
      </c>
      <c r="T339" s="14"/>
      <c r="U339" s="15"/>
      <c r="V339" s="15">
        <v>40634</v>
      </c>
      <c r="W339" s="14">
        <v>487500</v>
      </c>
      <c r="X339" s="15"/>
      <c r="Y339" s="14"/>
      <c r="Z339" s="9" t="s">
        <v>2147</v>
      </c>
      <c r="AA339" s="9" t="s">
        <v>60</v>
      </c>
      <c r="AB339" s="9" t="s">
        <v>768</v>
      </c>
      <c r="AC339" s="9" t="s">
        <v>769</v>
      </c>
      <c r="AD339" s="9"/>
      <c r="AE339" s="9"/>
    </row>
    <row r="340" spans="1:31" x14ac:dyDescent="0.2">
      <c r="A340" s="1" t="s">
        <v>31</v>
      </c>
      <c r="B340" s="1"/>
      <c r="C340" s="3">
        <v>45968</v>
      </c>
      <c r="D340" s="1" t="s">
        <v>49</v>
      </c>
      <c r="E340" s="1"/>
      <c r="F340" s="4" t="s">
        <v>3123</v>
      </c>
      <c r="G340" s="1">
        <v>2022</v>
      </c>
      <c r="H340" s="1" t="s">
        <v>3124</v>
      </c>
      <c r="I340" s="1" t="s">
        <v>233</v>
      </c>
      <c r="J340" s="1" t="s">
        <v>3125</v>
      </c>
      <c r="K340" s="1" t="s">
        <v>3125</v>
      </c>
      <c r="L340" s="1"/>
      <c r="M340" s="1" t="s">
        <v>3126</v>
      </c>
      <c r="N340" s="5" t="str">
        <f>HYPERLINK("https://www.google.com/maps/search/?api=1&amp;query=218-41 140TH AVENUE, SPRINGFIELD GARDENS, NEW YORK 11413", "OPEN MAP")</f>
        <v>OPEN MAP</v>
      </c>
      <c r="O340" s="1" t="s">
        <v>3127</v>
      </c>
      <c r="P340" s="1" t="s">
        <v>858</v>
      </c>
      <c r="Q340" s="1" t="s">
        <v>43</v>
      </c>
      <c r="R340" s="1">
        <v>11413</v>
      </c>
      <c r="S340" s="6" t="s">
        <v>3128</v>
      </c>
      <c r="T340" s="7"/>
      <c r="U340" s="8"/>
      <c r="V340" s="8">
        <v>40406</v>
      </c>
      <c r="W340" s="7">
        <v>365280</v>
      </c>
      <c r="X340" s="8"/>
      <c r="Y340" s="7"/>
      <c r="Z340" s="1" t="s">
        <v>2147</v>
      </c>
      <c r="AA340" s="1" t="s">
        <v>3129</v>
      </c>
      <c r="AB340" s="1" t="s">
        <v>768</v>
      </c>
      <c r="AC340" s="1" t="s">
        <v>769</v>
      </c>
      <c r="AD340" s="1"/>
      <c r="AE340" s="1"/>
    </row>
    <row r="341" spans="1:31" x14ac:dyDescent="0.2">
      <c r="A341" s="9" t="s">
        <v>115</v>
      </c>
      <c r="B341" s="9"/>
      <c r="C341" s="10">
        <v>45968</v>
      </c>
      <c r="D341" s="9" t="s">
        <v>49</v>
      </c>
      <c r="E341" s="9"/>
      <c r="F341" s="11" t="s">
        <v>3130</v>
      </c>
      <c r="G341" s="9">
        <v>2022</v>
      </c>
      <c r="H341" s="9" t="s">
        <v>3131</v>
      </c>
      <c r="I341" s="9" t="s">
        <v>2353</v>
      </c>
      <c r="J341" s="9" t="s">
        <v>3132</v>
      </c>
      <c r="K341" s="9" t="s">
        <v>3132</v>
      </c>
      <c r="L341" s="9"/>
      <c r="M341" s="9" t="s">
        <v>3133</v>
      </c>
      <c r="N341" s="12" t="str">
        <f>HYPERLINK("https://www.google.com/maps/search/?api=1&amp;query=152-18 Union Turnpike Apt #201-N a/k/a Unit 1N, Flushing, New York 11367", "OPEN MAP")</f>
        <v>OPEN MAP</v>
      </c>
      <c r="O341" s="9" t="s">
        <v>3134</v>
      </c>
      <c r="P341" s="9" t="s">
        <v>69</v>
      </c>
      <c r="Q341" s="9" t="s">
        <v>251</v>
      </c>
      <c r="R341" s="9">
        <v>11367</v>
      </c>
      <c r="S341" s="13" t="s">
        <v>3135</v>
      </c>
      <c r="T341" s="14"/>
      <c r="U341" s="15"/>
      <c r="V341" s="15">
        <v>43726</v>
      </c>
      <c r="W341" s="14">
        <v>290000</v>
      </c>
      <c r="X341" s="15"/>
      <c r="Y341" s="14"/>
      <c r="Z341" s="9" t="s">
        <v>3136</v>
      </c>
      <c r="AA341" s="9" t="s">
        <v>318</v>
      </c>
      <c r="AB341" s="9" t="s">
        <v>255</v>
      </c>
      <c r="AC341" s="9" t="s">
        <v>256</v>
      </c>
      <c r="AD341" s="9"/>
      <c r="AE341" s="9"/>
    </row>
    <row r="342" spans="1:31" x14ac:dyDescent="0.2">
      <c r="A342" s="1" t="s">
        <v>31</v>
      </c>
      <c r="B342" s="1"/>
      <c r="C342" s="3">
        <v>45968</v>
      </c>
      <c r="D342" s="1" t="s">
        <v>49</v>
      </c>
      <c r="E342" s="1"/>
      <c r="F342" s="4" t="s">
        <v>3137</v>
      </c>
      <c r="G342" s="1">
        <v>2022</v>
      </c>
      <c r="H342" s="1" t="s">
        <v>3138</v>
      </c>
      <c r="I342" s="1" t="s">
        <v>3139</v>
      </c>
      <c r="J342" s="1" t="s">
        <v>3140</v>
      </c>
      <c r="K342" s="1" t="s">
        <v>3140</v>
      </c>
      <c r="L342" s="1"/>
      <c r="M342" s="1" t="s">
        <v>3141</v>
      </c>
      <c r="N342" s="5" t="str">
        <f>HYPERLINK("https://www.google.com/maps/search/?api=1&amp;query=4320 247TH STREET, LITTLE NECK, NEW YORK 11363", "OPEN MAP")</f>
        <v>OPEN MAP</v>
      </c>
      <c r="O342" s="1" t="s">
        <v>3142</v>
      </c>
      <c r="P342" s="1" t="s">
        <v>3143</v>
      </c>
      <c r="Q342" s="1" t="s">
        <v>765</v>
      </c>
      <c r="R342" s="1">
        <v>11363</v>
      </c>
      <c r="S342" s="6" t="s">
        <v>3144</v>
      </c>
      <c r="T342" s="7"/>
      <c r="U342" s="8"/>
      <c r="V342" s="8">
        <v>43188</v>
      </c>
      <c r="W342" s="7">
        <v>954225</v>
      </c>
      <c r="X342" s="8"/>
      <c r="Y342" s="7"/>
      <c r="Z342" s="1" t="s">
        <v>1772</v>
      </c>
      <c r="AA342" s="1" t="s">
        <v>1024</v>
      </c>
      <c r="AB342" s="1" t="s">
        <v>768</v>
      </c>
      <c r="AC342" s="1" t="s">
        <v>769</v>
      </c>
      <c r="AD342" s="1"/>
      <c r="AE342" s="1"/>
    </row>
    <row r="343" spans="1:31" x14ac:dyDescent="0.2">
      <c r="A343" s="9" t="s">
        <v>31</v>
      </c>
      <c r="B343" s="9"/>
      <c r="C343" s="10">
        <v>45968</v>
      </c>
      <c r="D343" s="9" t="s">
        <v>49</v>
      </c>
      <c r="E343" s="9"/>
      <c r="F343" s="11" t="s">
        <v>3145</v>
      </c>
      <c r="G343" s="9">
        <v>2014</v>
      </c>
      <c r="H343" s="9" t="s">
        <v>3146</v>
      </c>
      <c r="I343" s="9" t="s">
        <v>912</v>
      </c>
      <c r="J343" s="9" t="s">
        <v>3147</v>
      </c>
      <c r="K343" s="9" t="s">
        <v>3148</v>
      </c>
      <c r="L343" s="9" t="s">
        <v>3149</v>
      </c>
      <c r="M343" s="9" t="s">
        <v>3150</v>
      </c>
      <c r="N343" s="12" t="str">
        <f>HYPERLINK("https://www.google.com/maps/search/?api=1&amp;query=133-44 122nd Street, South Ozone Park, New York 11420", "OPEN MAP")</f>
        <v>OPEN MAP</v>
      </c>
      <c r="O343" s="9" t="s">
        <v>3151</v>
      </c>
      <c r="P343" s="9" t="s">
        <v>237</v>
      </c>
      <c r="Q343" s="9" t="s">
        <v>251</v>
      </c>
      <c r="R343" s="9">
        <v>11420</v>
      </c>
      <c r="S343" s="13" t="s">
        <v>3152</v>
      </c>
      <c r="T343" s="14">
        <v>435361.25</v>
      </c>
      <c r="U343" s="15">
        <v>42859</v>
      </c>
      <c r="V343" s="15"/>
      <c r="W343" s="14"/>
      <c r="X343" s="15"/>
      <c r="Y343" s="14"/>
      <c r="Z343" s="9"/>
      <c r="AA343" s="9" t="s">
        <v>318</v>
      </c>
      <c r="AB343" s="9" t="s">
        <v>255</v>
      </c>
      <c r="AC343" s="9" t="s">
        <v>256</v>
      </c>
      <c r="AD343" s="9" t="s">
        <v>338</v>
      </c>
      <c r="AE343" s="9"/>
    </row>
    <row r="344" spans="1:31" x14ac:dyDescent="0.2">
      <c r="A344" s="1" t="s">
        <v>31</v>
      </c>
      <c r="B344" s="1"/>
      <c r="C344" s="3">
        <v>45968</v>
      </c>
      <c r="D344" s="1" t="s">
        <v>49</v>
      </c>
      <c r="E344" s="1"/>
      <c r="F344" s="4" t="s">
        <v>3153</v>
      </c>
      <c r="G344" s="1">
        <v>2023</v>
      </c>
      <c r="H344" s="1" t="s">
        <v>3154</v>
      </c>
      <c r="I344" s="1" t="s">
        <v>233</v>
      </c>
      <c r="J344" s="1" t="s">
        <v>3155</v>
      </c>
      <c r="K344" s="1" t="s">
        <v>3155</v>
      </c>
      <c r="L344" s="1"/>
      <c r="M344" s="1" t="s">
        <v>3156</v>
      </c>
      <c r="N344" s="5" t="str">
        <f>HYPERLINK("https://www.google.com/maps/search/?api=1&amp;query=543 BEACH 72ND STREET, ARVERNE, NY 11692", "OPEN MAP")</f>
        <v>OPEN MAP</v>
      </c>
      <c r="O344" s="1" t="s">
        <v>3157</v>
      </c>
      <c r="P344" s="1" t="s">
        <v>3158</v>
      </c>
      <c r="Q344" s="1" t="s">
        <v>43</v>
      </c>
      <c r="R344" s="1">
        <v>11692</v>
      </c>
      <c r="S344" s="6" t="s">
        <v>3159</v>
      </c>
      <c r="T344" s="7"/>
      <c r="U344" s="8">
        <v>45684</v>
      </c>
      <c r="V344" s="8"/>
      <c r="W344" s="7"/>
      <c r="X344" s="8"/>
      <c r="Y344" s="7"/>
      <c r="Z344" s="1"/>
      <c r="AA344" s="1" t="s">
        <v>60</v>
      </c>
      <c r="AB344" s="1" t="s">
        <v>61</v>
      </c>
      <c r="AC344" s="1"/>
      <c r="AD344" s="1" t="s">
        <v>1896</v>
      </c>
      <c r="AE344" s="1"/>
    </row>
    <row r="345" spans="1:31" x14ac:dyDescent="0.2">
      <c r="A345" s="9" t="s">
        <v>31</v>
      </c>
      <c r="B345" s="9"/>
      <c r="C345" s="10">
        <v>45968</v>
      </c>
      <c r="D345" s="9" t="s">
        <v>49</v>
      </c>
      <c r="E345" s="9"/>
      <c r="F345" s="11" t="s">
        <v>3160</v>
      </c>
      <c r="G345" s="9">
        <v>2022</v>
      </c>
      <c r="H345" s="9" t="s">
        <v>3161</v>
      </c>
      <c r="I345" s="9" t="s">
        <v>323</v>
      </c>
      <c r="J345" s="9" t="s">
        <v>3162</v>
      </c>
      <c r="K345" s="9" t="s">
        <v>3163</v>
      </c>
      <c r="L345" s="9"/>
      <c r="M345" s="9" t="s">
        <v>3164</v>
      </c>
      <c r="N345" s="12" t="str">
        <f>HYPERLINK("https://www.google.com/maps/search/?api=1&amp;query=19130 113TH AVENUE, SAINT ALBANS, NEW YORK 11412", "OPEN MAP")</f>
        <v>OPEN MAP</v>
      </c>
      <c r="O345" s="9" t="s">
        <v>3165</v>
      </c>
      <c r="P345" s="9" t="s">
        <v>1253</v>
      </c>
      <c r="Q345" s="9" t="s">
        <v>765</v>
      </c>
      <c r="R345" s="9">
        <v>11412</v>
      </c>
      <c r="S345" s="13" t="s">
        <v>3166</v>
      </c>
      <c r="T345" s="14"/>
      <c r="U345" s="15"/>
      <c r="V345" s="15">
        <v>39042</v>
      </c>
      <c r="W345" s="14">
        <v>540000</v>
      </c>
      <c r="X345" s="15"/>
      <c r="Y345" s="14"/>
      <c r="Z345" s="9" t="s">
        <v>1833</v>
      </c>
      <c r="AA345" s="9" t="s">
        <v>60</v>
      </c>
      <c r="AB345" s="9" t="s">
        <v>768</v>
      </c>
      <c r="AC345" s="9" t="s">
        <v>3054</v>
      </c>
      <c r="AD345" s="9"/>
      <c r="AE345" s="9"/>
    </row>
    <row r="346" spans="1:31" x14ac:dyDescent="0.2">
      <c r="A346" s="1" t="s">
        <v>31</v>
      </c>
      <c r="B346" s="1"/>
      <c r="C346" s="3">
        <v>45975</v>
      </c>
      <c r="D346" s="1" t="s">
        <v>49</v>
      </c>
      <c r="E346" s="1"/>
      <c r="F346" s="4" t="s">
        <v>3167</v>
      </c>
      <c r="G346" s="1">
        <v>2020</v>
      </c>
      <c r="H346" s="1" t="s">
        <v>3168</v>
      </c>
      <c r="I346" s="1" t="s">
        <v>233</v>
      </c>
      <c r="J346" s="1" t="s">
        <v>3169</v>
      </c>
      <c r="K346" s="1" t="s">
        <v>3170</v>
      </c>
      <c r="L346" s="1"/>
      <c r="M346" s="1" t="s">
        <v>3171</v>
      </c>
      <c r="N346" s="5" t="str">
        <f>HYPERLINK("https://www.google.com/maps/search/?api=1&amp;query=13105 135TH ST, SOUTH OZONE PARK, NEW YORK 11420", "OPEN MAP")</f>
        <v>OPEN MAP</v>
      </c>
      <c r="O346" s="1" t="s">
        <v>3172</v>
      </c>
      <c r="P346" s="1" t="s">
        <v>207</v>
      </c>
      <c r="Q346" s="1" t="s">
        <v>765</v>
      </c>
      <c r="R346" s="1">
        <v>11420</v>
      </c>
      <c r="S346" s="6" t="s">
        <v>3173</v>
      </c>
      <c r="T346" s="7"/>
      <c r="U346" s="8"/>
      <c r="V346" s="8">
        <v>39644</v>
      </c>
      <c r="W346" s="7">
        <v>417000</v>
      </c>
      <c r="X346" s="8"/>
      <c r="Y346" s="7"/>
      <c r="Z346" s="1" t="s">
        <v>1772</v>
      </c>
      <c r="AA346" s="1" t="s">
        <v>1024</v>
      </c>
      <c r="AB346" s="1" t="s">
        <v>768</v>
      </c>
      <c r="AC346" s="1" t="s">
        <v>769</v>
      </c>
      <c r="AD346" s="1"/>
      <c r="AE346" s="1"/>
    </row>
    <row r="347" spans="1:31" x14ac:dyDescent="0.2">
      <c r="A347" s="9" t="s">
        <v>31</v>
      </c>
      <c r="B347" s="9"/>
      <c r="C347" s="10">
        <v>45975</v>
      </c>
      <c r="D347" s="9" t="s">
        <v>49</v>
      </c>
      <c r="E347" s="9"/>
      <c r="F347" s="11" t="s">
        <v>3174</v>
      </c>
      <c r="G347" s="9">
        <v>2018</v>
      </c>
      <c r="H347" s="9" t="s">
        <v>3175</v>
      </c>
      <c r="I347" s="9" t="s">
        <v>333</v>
      </c>
      <c r="J347" s="9" t="s">
        <v>3176</v>
      </c>
      <c r="K347" s="9" t="s">
        <v>3176</v>
      </c>
      <c r="L347" s="9" t="s">
        <v>3177</v>
      </c>
      <c r="M347" s="9" t="s">
        <v>3178</v>
      </c>
      <c r="N347" s="12" t="str">
        <f>HYPERLINK("https://www.google.com/maps/search/?api=1&amp;query=13146 229TH STREET, LAURELTON, NEW YORK 11413", "OPEN MAP")</f>
        <v>OPEN MAP</v>
      </c>
      <c r="O347" s="9" t="s">
        <v>3179</v>
      </c>
      <c r="P347" s="9" t="s">
        <v>189</v>
      </c>
      <c r="Q347" s="9" t="s">
        <v>765</v>
      </c>
      <c r="R347" s="9">
        <v>11413</v>
      </c>
      <c r="S347" s="13" t="s">
        <v>3180</v>
      </c>
      <c r="T347" s="14"/>
      <c r="U347" s="15"/>
      <c r="V347" s="15">
        <v>39071</v>
      </c>
      <c r="W347" s="14">
        <v>412000</v>
      </c>
      <c r="X347" s="15"/>
      <c r="Y347" s="14"/>
      <c r="Z347" s="9" t="s">
        <v>3181</v>
      </c>
      <c r="AA347" s="9" t="s">
        <v>1024</v>
      </c>
      <c r="AB347" s="9" t="s">
        <v>3081</v>
      </c>
      <c r="AC347" s="9" t="s">
        <v>3054</v>
      </c>
      <c r="AD347" s="9"/>
      <c r="AE347" s="9"/>
    </row>
    <row r="348" spans="1:31" x14ac:dyDescent="0.2">
      <c r="A348" s="1" t="s">
        <v>31</v>
      </c>
      <c r="B348" s="1"/>
      <c r="C348" s="3">
        <v>45975</v>
      </c>
      <c r="D348" s="1" t="s">
        <v>49</v>
      </c>
      <c r="E348" s="1"/>
      <c r="F348" s="4" t="s">
        <v>3182</v>
      </c>
      <c r="G348" s="1">
        <v>2023</v>
      </c>
      <c r="H348" s="1" t="s">
        <v>3183</v>
      </c>
      <c r="I348" s="1" t="s">
        <v>2195</v>
      </c>
      <c r="J348" s="1" t="s">
        <v>3184</v>
      </c>
      <c r="K348" s="1" t="s">
        <v>3184</v>
      </c>
      <c r="L348" s="1"/>
      <c r="M348" s="1" t="s">
        <v>3185</v>
      </c>
      <c r="N348" s="5" t="str">
        <f>HYPERLINK("https://www.google.com/maps/search/?api=1&amp;query=9260 215TH PLACE, QUEENS VILLAGE, NY 11428", "OPEN MAP")</f>
        <v>OPEN MAP</v>
      </c>
      <c r="O348" s="1" t="s">
        <v>3186</v>
      </c>
      <c r="P348" s="1" t="s">
        <v>515</v>
      </c>
      <c r="Q348" s="1" t="s">
        <v>43</v>
      </c>
      <c r="R348" s="1">
        <v>11428</v>
      </c>
      <c r="S348" s="6" t="s">
        <v>3187</v>
      </c>
      <c r="T348" s="7"/>
      <c r="U348" s="8">
        <v>45712</v>
      </c>
      <c r="V348" s="8"/>
      <c r="W348" s="7"/>
      <c r="X348" s="8"/>
      <c r="Y348" s="7"/>
      <c r="Z348" s="1"/>
      <c r="AA348" s="1" t="s">
        <v>60</v>
      </c>
      <c r="AB348" s="1" t="s">
        <v>61</v>
      </c>
      <c r="AC348" s="1"/>
      <c r="AD348" s="1" t="s">
        <v>1358</v>
      </c>
      <c r="AE348" s="1"/>
    </row>
    <row r="349" spans="1:31" x14ac:dyDescent="0.2">
      <c r="A349" s="9" t="s">
        <v>31</v>
      </c>
      <c r="B349" s="9"/>
      <c r="C349" s="10">
        <v>45975</v>
      </c>
      <c r="D349" s="9" t="s">
        <v>49</v>
      </c>
      <c r="E349" s="9"/>
      <c r="F349" s="11" t="s">
        <v>3188</v>
      </c>
      <c r="G349" s="9">
        <v>2013</v>
      </c>
      <c r="H349" s="9" t="s">
        <v>3189</v>
      </c>
      <c r="I349" s="9" t="s">
        <v>2747</v>
      </c>
      <c r="J349" s="9" t="s">
        <v>3190</v>
      </c>
      <c r="K349" s="9" t="s">
        <v>3190</v>
      </c>
      <c r="L349" s="9"/>
      <c r="M349" s="9" t="s">
        <v>3191</v>
      </c>
      <c r="N349" s="12" t="str">
        <f>HYPERLINK("https://www.google.com/maps/search/?api=1&amp;query=114-63 114TH ST, SOUTH OZONE PARK, NY 11420", "OPEN MAP")</f>
        <v>OPEN MAP</v>
      </c>
      <c r="O349" s="9" t="s">
        <v>3192</v>
      </c>
      <c r="P349" s="9" t="s">
        <v>207</v>
      </c>
      <c r="Q349" s="9" t="s">
        <v>43</v>
      </c>
      <c r="R349" s="9">
        <v>11420</v>
      </c>
      <c r="S349" s="13" t="s">
        <v>3193</v>
      </c>
      <c r="T349" s="14"/>
      <c r="U349" s="15">
        <v>44650</v>
      </c>
      <c r="V349" s="15"/>
      <c r="W349" s="14"/>
      <c r="X349" s="15"/>
      <c r="Y349" s="14"/>
      <c r="Z349" s="9"/>
      <c r="AA349" s="9" t="s">
        <v>60</v>
      </c>
      <c r="AB349" s="9" t="s">
        <v>61</v>
      </c>
      <c r="AC349" s="9"/>
      <c r="AD349" s="9" t="s">
        <v>230</v>
      </c>
      <c r="AE349" s="9"/>
    </row>
    <row r="350" spans="1:31" x14ac:dyDescent="0.2">
      <c r="A350" s="1" t="s">
        <v>31</v>
      </c>
      <c r="B350" s="1"/>
      <c r="C350" s="3">
        <v>45975</v>
      </c>
      <c r="D350" s="1" t="s">
        <v>49</v>
      </c>
      <c r="E350" s="1"/>
      <c r="F350" s="4" t="s">
        <v>3194</v>
      </c>
      <c r="G350" s="1">
        <v>2019</v>
      </c>
      <c r="H350" s="1" t="s">
        <v>3195</v>
      </c>
      <c r="I350" s="1" t="s">
        <v>3196</v>
      </c>
      <c r="J350" s="1" t="s">
        <v>3197</v>
      </c>
      <c r="K350" s="1" t="s">
        <v>3198</v>
      </c>
      <c r="L350" s="1" t="s">
        <v>3199</v>
      </c>
      <c r="M350" s="1" t="s">
        <v>3200</v>
      </c>
      <c r="N350" s="5" t="str">
        <f>HYPERLINK("https://www.google.com/maps/search/?api=1&amp;query=88 -17 214TH STREET, QUEENS VILLAGE, NEW YORK 11427", "OPEN MAP")</f>
        <v>OPEN MAP</v>
      </c>
      <c r="O350" s="1" t="s">
        <v>3201</v>
      </c>
      <c r="P350" s="1" t="s">
        <v>515</v>
      </c>
      <c r="Q350" s="1" t="s">
        <v>765</v>
      </c>
      <c r="R350" s="1">
        <v>11427</v>
      </c>
      <c r="S350" s="6" t="s">
        <v>3202</v>
      </c>
      <c r="T350" s="7"/>
      <c r="U350" s="8"/>
      <c r="V350" s="8">
        <v>39055</v>
      </c>
      <c r="W350" s="7">
        <v>400000</v>
      </c>
      <c r="X350" s="8">
        <v>41779</v>
      </c>
      <c r="Y350" s="7"/>
      <c r="Z350" s="1"/>
      <c r="AA350" s="1" t="s">
        <v>1024</v>
      </c>
      <c r="AB350" s="1" t="s">
        <v>768</v>
      </c>
      <c r="AC350" s="1" t="s">
        <v>769</v>
      </c>
      <c r="AD350" s="1"/>
      <c r="AE350" s="1"/>
    </row>
    <row r="351" spans="1:31" x14ac:dyDescent="0.2">
      <c r="A351" s="9" t="s">
        <v>31</v>
      </c>
      <c r="B351" s="9"/>
      <c r="C351" s="10">
        <v>45975</v>
      </c>
      <c r="D351" s="9" t="s">
        <v>49</v>
      </c>
      <c r="E351" s="9"/>
      <c r="F351" s="11" t="s">
        <v>3203</v>
      </c>
      <c r="G351" s="9">
        <v>2021</v>
      </c>
      <c r="H351" s="9" t="s">
        <v>3204</v>
      </c>
      <c r="I351" s="9" t="s">
        <v>233</v>
      </c>
      <c r="J351" s="9" t="s">
        <v>3205</v>
      </c>
      <c r="K351" s="9" t="s">
        <v>3206</v>
      </c>
      <c r="L351" s="9" t="s">
        <v>3207</v>
      </c>
      <c r="M351" s="9" t="s">
        <v>3208</v>
      </c>
      <c r="N351" s="12" t="str">
        <f>HYPERLINK("https://www.google.com/maps/search/?api=1&amp;query=361 Beach 69th Street, Arverne, NY 11692", "OPEN MAP")</f>
        <v>OPEN MAP</v>
      </c>
      <c r="O351" s="9" t="s">
        <v>3209</v>
      </c>
      <c r="P351" s="9" t="s">
        <v>480</v>
      </c>
      <c r="Q351" s="9" t="s">
        <v>43</v>
      </c>
      <c r="R351" s="9">
        <v>11692</v>
      </c>
      <c r="S351" s="13" t="s">
        <v>3210</v>
      </c>
      <c r="T351" s="14">
        <v>1150890.8500000001</v>
      </c>
      <c r="U351" s="15">
        <v>45264</v>
      </c>
      <c r="V351" s="15"/>
      <c r="W351" s="14"/>
      <c r="X351" s="15"/>
      <c r="Y351" s="14"/>
      <c r="Z351" s="9"/>
      <c r="AA351" s="9" t="s">
        <v>91</v>
      </c>
      <c r="AB351" s="9" t="s">
        <v>92</v>
      </c>
      <c r="AC351" s="9"/>
      <c r="AD351" s="9" t="s">
        <v>2136</v>
      </c>
      <c r="AE351" s="9"/>
    </row>
    <row r="352" spans="1:31" x14ac:dyDescent="0.2">
      <c r="A352" s="1" t="s">
        <v>31</v>
      </c>
      <c r="B352" s="1"/>
      <c r="C352" s="3">
        <v>45975</v>
      </c>
      <c r="D352" s="1" t="s">
        <v>49</v>
      </c>
      <c r="E352" s="1"/>
      <c r="F352" s="4" t="s">
        <v>3211</v>
      </c>
      <c r="G352" s="1">
        <v>2008</v>
      </c>
      <c r="H352" s="1" t="s">
        <v>3212</v>
      </c>
      <c r="I352" s="1" t="s">
        <v>2263</v>
      </c>
      <c r="J352" s="1" t="s">
        <v>3213</v>
      </c>
      <c r="K352" s="1" t="s">
        <v>3213</v>
      </c>
      <c r="L352" s="1"/>
      <c r="M352" s="1" t="s">
        <v>3214</v>
      </c>
      <c r="N352" s="5" t="str">
        <f>HYPERLINK("https://www.google.com/maps/search/?api=1&amp;query=219 BEACH 44TH STREET_A/K/A ROCKAWAY BEACH BOULEVARD, FAR ROCKAWAY, NY 11691 N/K/A 223 BEACH 44TH STREET, FAR ROCKAWAY, NY 11691", "OPEN MAP")</f>
        <v>OPEN MAP</v>
      </c>
      <c r="O352" s="1" t="s">
        <v>3215</v>
      </c>
      <c r="P352" s="1" t="s">
        <v>764</v>
      </c>
      <c r="Q352" s="1" t="s">
        <v>43</v>
      </c>
      <c r="R352" s="1">
        <v>11691</v>
      </c>
      <c r="S352" s="6" t="s">
        <v>3216</v>
      </c>
      <c r="T352" s="7"/>
      <c r="U352" s="8">
        <v>39990</v>
      </c>
      <c r="V352" s="8"/>
      <c r="W352" s="7"/>
      <c r="X352" s="8"/>
      <c r="Y352" s="7"/>
      <c r="Z352" s="1"/>
      <c r="AA352" s="1" t="s">
        <v>60</v>
      </c>
      <c r="AB352" s="1" t="s">
        <v>61</v>
      </c>
      <c r="AC352" s="1"/>
      <c r="AD352" s="1" t="s">
        <v>191</v>
      </c>
      <c r="AE352" s="1"/>
    </row>
    <row r="353" spans="1:31" x14ac:dyDescent="0.2">
      <c r="A353" s="9" t="s">
        <v>31</v>
      </c>
      <c r="B353" s="9"/>
      <c r="C353" s="10">
        <v>45975</v>
      </c>
      <c r="D353" s="9" t="s">
        <v>49</v>
      </c>
      <c r="E353" s="9"/>
      <c r="F353" s="11" t="s">
        <v>3217</v>
      </c>
      <c r="G353" s="9">
        <v>2017</v>
      </c>
      <c r="H353" s="9" t="s">
        <v>3218</v>
      </c>
      <c r="I353" s="9" t="s">
        <v>118</v>
      </c>
      <c r="J353" s="9" t="s">
        <v>3219</v>
      </c>
      <c r="K353" s="9" t="s">
        <v>3219</v>
      </c>
      <c r="L353" s="9"/>
      <c r="M353" s="9" t="s">
        <v>3220</v>
      </c>
      <c r="N353" s="12" t="str">
        <f>HYPERLINK("https://www.google.com/maps/search/?api=1&amp;query=241-30 132ND ROAD, ROSEDALE, NY 11422", "OPEN MAP")</f>
        <v>OPEN MAP</v>
      </c>
      <c r="O353" s="9" t="s">
        <v>3221</v>
      </c>
      <c r="P353" s="9" t="s">
        <v>1688</v>
      </c>
      <c r="Q353" s="9" t="s">
        <v>43</v>
      </c>
      <c r="R353" s="9">
        <v>11422</v>
      </c>
      <c r="S353" s="13" t="s">
        <v>3222</v>
      </c>
      <c r="T353" s="14"/>
      <c r="U353" s="15">
        <v>45399</v>
      </c>
      <c r="V353" s="15"/>
      <c r="W353" s="14"/>
      <c r="X353" s="15"/>
      <c r="Y353" s="14"/>
      <c r="Z353" s="9"/>
      <c r="AA353" s="9" t="s">
        <v>60</v>
      </c>
      <c r="AB353" s="9" t="s">
        <v>61</v>
      </c>
      <c r="AC353" s="9"/>
      <c r="AD353" s="9" t="s">
        <v>3223</v>
      </c>
      <c r="AE353" s="9"/>
    </row>
    <row r="354" spans="1:31" x14ac:dyDescent="0.2">
      <c r="A354" s="1" t="s">
        <v>31</v>
      </c>
      <c r="B354" s="1"/>
      <c r="C354" s="3">
        <v>45975</v>
      </c>
      <c r="D354" s="1" t="s">
        <v>49</v>
      </c>
      <c r="E354" s="1"/>
      <c r="F354" s="4" t="s">
        <v>3224</v>
      </c>
      <c r="G354" s="1">
        <v>2015</v>
      </c>
      <c r="H354" s="1" t="s">
        <v>3225</v>
      </c>
      <c r="I354" s="1" t="s">
        <v>3226</v>
      </c>
      <c r="J354" s="1" t="s">
        <v>3227</v>
      </c>
      <c r="K354" s="1" t="s">
        <v>3227</v>
      </c>
      <c r="L354" s="1"/>
      <c r="M354" s="1" t="s">
        <v>3228</v>
      </c>
      <c r="N354" s="5" t="str">
        <f>HYPERLINK("https://www.google.com/maps/search/?api=1&amp;query=404 Beach 43rd Street, Arverne, New York 11691", "OPEN MAP")</f>
        <v>OPEN MAP</v>
      </c>
      <c r="O354" s="1" t="s">
        <v>3229</v>
      </c>
      <c r="P354" s="1" t="s">
        <v>480</v>
      </c>
      <c r="Q354" s="1" t="s">
        <v>251</v>
      </c>
      <c r="R354" s="1">
        <v>11691</v>
      </c>
      <c r="S354" s="6" t="s">
        <v>3230</v>
      </c>
      <c r="T354" s="7"/>
      <c r="U354" s="8"/>
      <c r="V354" s="8">
        <v>38897</v>
      </c>
      <c r="W354" s="7">
        <v>367500</v>
      </c>
      <c r="X354" s="8"/>
      <c r="Y354" s="7"/>
      <c r="Z354" s="1" t="s">
        <v>3231</v>
      </c>
      <c r="AA354" s="1" t="s">
        <v>581</v>
      </c>
      <c r="AB354" s="1" t="s">
        <v>3232</v>
      </c>
      <c r="AC354" s="1" t="s">
        <v>256</v>
      </c>
      <c r="AD354" s="1"/>
      <c r="AE354" s="1"/>
    </row>
    <row r="355" spans="1:31" x14ac:dyDescent="0.2">
      <c r="A355" s="9" t="s">
        <v>31</v>
      </c>
      <c r="B355" s="9"/>
      <c r="C355" s="10">
        <v>45975</v>
      </c>
      <c r="D355" s="9" t="s">
        <v>49</v>
      </c>
      <c r="E355" s="9"/>
      <c r="F355" s="11" t="s">
        <v>3233</v>
      </c>
      <c r="G355" s="9">
        <v>2024</v>
      </c>
      <c r="H355" s="9" t="s">
        <v>3234</v>
      </c>
      <c r="I355" s="9" t="s">
        <v>3235</v>
      </c>
      <c r="J355" s="9" t="s">
        <v>3236</v>
      </c>
      <c r="K355" s="9" t="s">
        <v>3237</v>
      </c>
      <c r="L355" s="9" t="s">
        <v>3238</v>
      </c>
      <c r="M355" s="9" t="s">
        <v>3239</v>
      </c>
      <c r="N355" s="12" t="str">
        <f>HYPERLINK("https://www.google.com/maps/search/?api=1&amp;query=194-43 113th Road, Saint Albans, NY 11412", "OPEN MAP")</f>
        <v>OPEN MAP</v>
      </c>
      <c r="O355" s="9" t="s">
        <v>3240</v>
      </c>
      <c r="P355" s="9" t="s">
        <v>357</v>
      </c>
      <c r="Q355" s="9" t="s">
        <v>43</v>
      </c>
      <c r="R355" s="9">
        <v>11412</v>
      </c>
      <c r="S355" s="13" t="s">
        <v>3241</v>
      </c>
      <c r="T355" s="14"/>
      <c r="U355" s="15"/>
      <c r="V355" s="15">
        <v>39037</v>
      </c>
      <c r="W355" s="14">
        <v>61480</v>
      </c>
      <c r="X355" s="15"/>
      <c r="Y355" s="14"/>
      <c r="Z355" s="9" t="s">
        <v>3242</v>
      </c>
      <c r="AA355" s="9" t="s">
        <v>2542</v>
      </c>
      <c r="AB355" s="9" t="s">
        <v>3243</v>
      </c>
      <c r="AC355" s="9" t="s">
        <v>3244</v>
      </c>
      <c r="AD355" s="9"/>
      <c r="AE355" s="9"/>
    </row>
    <row r="356" spans="1:31" x14ac:dyDescent="0.2">
      <c r="A356" s="1" t="s">
        <v>115</v>
      </c>
      <c r="B356" s="1"/>
      <c r="C356" s="3">
        <v>45975</v>
      </c>
      <c r="D356" s="1" t="s">
        <v>49</v>
      </c>
      <c r="E356" s="1"/>
      <c r="F356" s="4" t="s">
        <v>3245</v>
      </c>
      <c r="G356" s="1">
        <v>2018</v>
      </c>
      <c r="H356" s="1" t="s">
        <v>3246</v>
      </c>
      <c r="I356" s="1" t="s">
        <v>3247</v>
      </c>
      <c r="J356" s="1" t="s">
        <v>3248</v>
      </c>
      <c r="K356" s="1" t="s">
        <v>3248</v>
      </c>
      <c r="L356" s="1"/>
      <c r="M356" s="1" t="s">
        <v>3249</v>
      </c>
      <c r="N356" s="5" t="str">
        <f>HYPERLINK("https://www.google.com/maps/search/?api=1&amp;query=533 Beach 67th Street, Arverne, NY 11692", "OPEN MAP")</f>
        <v>OPEN MAP</v>
      </c>
      <c r="O356" s="1" t="s">
        <v>3250</v>
      </c>
      <c r="P356" s="1" t="s">
        <v>480</v>
      </c>
      <c r="Q356" s="1" t="s">
        <v>43</v>
      </c>
      <c r="R356" s="1">
        <v>11692</v>
      </c>
      <c r="S356" s="6" t="s">
        <v>3251</v>
      </c>
      <c r="T356" s="7">
        <v>234197.84</v>
      </c>
      <c r="U356" s="8">
        <v>45665</v>
      </c>
      <c r="V356" s="8"/>
      <c r="W356" s="7"/>
      <c r="X356" s="8"/>
      <c r="Y356" s="7"/>
      <c r="Z356" s="1"/>
      <c r="AA356" s="1" t="s">
        <v>1325</v>
      </c>
      <c r="AB356" s="1" t="s">
        <v>309</v>
      </c>
      <c r="AC356" s="1"/>
      <c r="AD356" s="1" t="s">
        <v>3252</v>
      </c>
      <c r="AE356" s="1"/>
    </row>
    <row r="357" spans="1:31" x14ac:dyDescent="0.2">
      <c r="A357" s="9" t="s">
        <v>31</v>
      </c>
      <c r="B357" s="9"/>
      <c r="C357" s="10">
        <v>45975</v>
      </c>
      <c r="D357" s="9" t="s">
        <v>49</v>
      </c>
      <c r="E357" s="9"/>
      <c r="F357" s="11" t="s">
        <v>3253</v>
      </c>
      <c r="G357" s="9">
        <v>2018</v>
      </c>
      <c r="H357" s="9" t="s">
        <v>3254</v>
      </c>
      <c r="I357" s="9" t="s">
        <v>3255</v>
      </c>
      <c r="J357" s="9" t="s">
        <v>3256</v>
      </c>
      <c r="K357" s="9" t="s">
        <v>3257</v>
      </c>
      <c r="L357" s="9" t="s">
        <v>3258</v>
      </c>
      <c r="M357" s="9" t="s">
        <v>3259</v>
      </c>
      <c r="N357" s="12" t="str">
        <f>HYPERLINK("https://www.google.com/maps/search/?api=1&amp;query=117-28 223RD STREET, CAMBRIA HEIGHTS, NY 11411", "OPEN MAP")</f>
        <v>OPEN MAP</v>
      </c>
      <c r="O357" s="9" t="s">
        <v>3260</v>
      </c>
      <c r="P357" s="9" t="s">
        <v>375</v>
      </c>
      <c r="Q357" s="9" t="s">
        <v>43</v>
      </c>
      <c r="R357" s="9">
        <v>11411</v>
      </c>
      <c r="S357" s="13" t="s">
        <v>3261</v>
      </c>
      <c r="T357" s="14"/>
      <c r="U357" s="15"/>
      <c r="V357" s="15">
        <v>42046</v>
      </c>
      <c r="W357" s="14"/>
      <c r="X357" s="15"/>
      <c r="Y357" s="14"/>
      <c r="Z357" s="9" t="s">
        <v>3262</v>
      </c>
      <c r="AA357" s="9" t="s">
        <v>3069</v>
      </c>
      <c r="AB357" s="9" t="s">
        <v>1307</v>
      </c>
      <c r="AC357" s="9" t="s">
        <v>3263</v>
      </c>
      <c r="AD357" s="9"/>
      <c r="AE357" s="9"/>
    </row>
    <row r="358" spans="1:31" x14ac:dyDescent="0.2">
      <c r="A358" s="1" t="s">
        <v>31</v>
      </c>
      <c r="B358" s="1"/>
      <c r="C358" s="3">
        <v>45975</v>
      </c>
      <c r="D358" s="1" t="s">
        <v>49</v>
      </c>
      <c r="E358" s="1"/>
      <c r="F358" s="4" t="s">
        <v>3264</v>
      </c>
      <c r="G358" s="1">
        <v>2016</v>
      </c>
      <c r="H358" s="1" t="s">
        <v>3265</v>
      </c>
      <c r="I358" s="1" t="s">
        <v>3266</v>
      </c>
      <c r="J358" s="1" t="s">
        <v>3267</v>
      </c>
      <c r="K358" s="1" t="s">
        <v>3267</v>
      </c>
      <c r="L358" s="1"/>
      <c r="M358" s="1" t="s">
        <v>3268</v>
      </c>
      <c r="N358" s="5" t="str">
        <f>HYPERLINK("https://www.google.com/maps/search/?api=1&amp;query=241-19 148TH ROAD, ROSEDALE, NY 11422", "OPEN MAP")</f>
        <v>OPEN MAP</v>
      </c>
      <c r="O358" s="1" t="s">
        <v>3269</v>
      </c>
      <c r="P358" s="1" t="s">
        <v>1688</v>
      </c>
      <c r="Q358" s="1" t="s">
        <v>43</v>
      </c>
      <c r="R358" s="1">
        <v>11422</v>
      </c>
      <c r="S358" s="6" t="s">
        <v>3270</v>
      </c>
      <c r="T358" s="7"/>
      <c r="U358" s="8">
        <v>45559</v>
      </c>
      <c r="V358" s="8"/>
      <c r="W358" s="7"/>
      <c r="X358" s="8"/>
      <c r="Y358" s="7"/>
      <c r="Z358" s="1"/>
      <c r="AA358" s="1" t="s">
        <v>60</v>
      </c>
      <c r="AB358" s="1" t="s">
        <v>61</v>
      </c>
      <c r="AC358" s="1"/>
      <c r="AD358" s="1" t="s">
        <v>2136</v>
      </c>
      <c r="AE358" s="1"/>
    </row>
    <row r="359" spans="1:31" x14ac:dyDescent="0.2">
      <c r="A359" s="9" t="s">
        <v>31</v>
      </c>
      <c r="B359" s="9"/>
      <c r="C359" s="10">
        <v>45975</v>
      </c>
      <c r="D359" s="9" t="s">
        <v>49</v>
      </c>
      <c r="E359" s="9"/>
      <c r="F359" s="11" t="s">
        <v>3271</v>
      </c>
      <c r="G359" s="9">
        <v>2023</v>
      </c>
      <c r="H359" s="9" t="s">
        <v>3272</v>
      </c>
      <c r="I359" s="9" t="s">
        <v>3273</v>
      </c>
      <c r="J359" s="9" t="s">
        <v>3274</v>
      </c>
      <c r="K359" s="9" t="s">
        <v>3275</v>
      </c>
      <c r="L359" s="9" t="s">
        <v>3276</v>
      </c>
      <c r="M359" s="9" t="s">
        <v>3277</v>
      </c>
      <c r="N359" s="12" t="str">
        <f>HYPERLINK("https://www.google.com/maps/search/?api=1&amp;query=14-15 SUNNYSIDE AVENUE ΑΚΑ 14-15 SUNNYSIDE STREET, FAR ROCKAWAY, NY 11691", "OPEN MAP")</f>
        <v>OPEN MAP</v>
      </c>
      <c r="O359" s="9" t="s">
        <v>3278</v>
      </c>
      <c r="P359" s="9" t="s">
        <v>764</v>
      </c>
      <c r="Q359" s="9" t="s">
        <v>43</v>
      </c>
      <c r="R359" s="9">
        <v>11691</v>
      </c>
      <c r="S359" s="13" t="s">
        <v>3279</v>
      </c>
      <c r="T359" s="14"/>
      <c r="U359" s="15"/>
      <c r="V359" s="15">
        <v>38841</v>
      </c>
      <c r="W359" s="14">
        <v>448000</v>
      </c>
      <c r="X359" s="15">
        <v>39709</v>
      </c>
      <c r="Y359" s="14"/>
      <c r="Z359" s="9" t="s">
        <v>3280</v>
      </c>
      <c r="AA359" s="9" t="s">
        <v>3281</v>
      </c>
      <c r="AB359" s="9" t="s">
        <v>768</v>
      </c>
      <c r="AC359" s="9" t="s">
        <v>769</v>
      </c>
      <c r="AD359" s="9"/>
      <c r="AE359" s="9"/>
    </row>
    <row r="360" spans="1:31" x14ac:dyDescent="0.2">
      <c r="A360" s="1" t="s">
        <v>31</v>
      </c>
      <c r="B360" s="1"/>
      <c r="C360" s="3">
        <v>45982</v>
      </c>
      <c r="D360" s="1" t="s">
        <v>49</v>
      </c>
      <c r="E360" s="1"/>
      <c r="F360" s="4" t="s">
        <v>3282</v>
      </c>
      <c r="G360" s="1">
        <v>2015</v>
      </c>
      <c r="H360" s="1" t="s">
        <v>3283</v>
      </c>
      <c r="I360" s="1" t="s">
        <v>3284</v>
      </c>
      <c r="J360" s="1" t="s">
        <v>3285</v>
      </c>
      <c r="K360" s="1" t="s">
        <v>3285</v>
      </c>
      <c r="L360" s="1"/>
      <c r="M360" s="1" t="s">
        <v>3286</v>
      </c>
      <c r="N360" s="5" t="str">
        <f>HYPERLINK("https://www.google.com/maps/search/?api=1&amp;query=161-03 83RD ST, HOWARD BEACH, NY 11414", "OPEN MAP")</f>
        <v>OPEN MAP</v>
      </c>
      <c r="O360" s="1" t="s">
        <v>3287</v>
      </c>
      <c r="P360" s="1" t="s">
        <v>3288</v>
      </c>
      <c r="Q360" s="1" t="s">
        <v>43</v>
      </c>
      <c r="R360" s="1">
        <v>11414</v>
      </c>
      <c r="S360" s="6" t="s">
        <v>3289</v>
      </c>
      <c r="T360" s="7"/>
      <c r="U360" s="8">
        <v>45245</v>
      </c>
      <c r="V360" s="8"/>
      <c r="W360" s="7"/>
      <c r="X360" s="8"/>
      <c r="Y360" s="7"/>
      <c r="Z360" s="1" t="s">
        <v>3290</v>
      </c>
      <c r="AA360" s="1" t="s">
        <v>60</v>
      </c>
      <c r="AB360" s="1" t="s">
        <v>61</v>
      </c>
      <c r="AC360" s="1"/>
      <c r="AD360" s="1"/>
      <c r="AE360" s="1"/>
    </row>
    <row r="361" spans="1:31" x14ac:dyDescent="0.2">
      <c r="A361" s="9" t="s">
        <v>31</v>
      </c>
      <c r="B361" s="9"/>
      <c r="C361" s="10">
        <v>45982</v>
      </c>
      <c r="D361" s="9" t="s">
        <v>49</v>
      </c>
      <c r="E361" s="9"/>
      <c r="F361" s="11" t="s">
        <v>3291</v>
      </c>
      <c r="G361" s="9">
        <v>2020</v>
      </c>
      <c r="H361" s="9" t="s">
        <v>3292</v>
      </c>
      <c r="I361" s="9" t="s">
        <v>991</v>
      </c>
      <c r="J361" s="9" t="s">
        <v>3293</v>
      </c>
      <c r="K361" s="9" t="s">
        <v>3293</v>
      </c>
      <c r="L361" s="9"/>
      <c r="M361" s="9" t="s">
        <v>3294</v>
      </c>
      <c r="N361" s="12" t="str">
        <f>HYPERLINK("https://www.google.com/maps/search/?api=1&amp;query=9124 85th Street, Woodhaven, New York 11421", "OPEN MAP")</f>
        <v>OPEN MAP</v>
      </c>
      <c r="O361" s="9" t="s">
        <v>3295</v>
      </c>
      <c r="P361" s="9" t="s">
        <v>149</v>
      </c>
      <c r="Q361" s="9" t="s">
        <v>43</v>
      </c>
      <c r="R361" s="9">
        <v>11421</v>
      </c>
      <c r="S361" s="13" t="s">
        <v>3296</v>
      </c>
      <c r="T361" s="14">
        <v>540301.44999999995</v>
      </c>
      <c r="U361" s="15">
        <v>45279</v>
      </c>
      <c r="V361" s="15">
        <v>2006</v>
      </c>
      <c r="W361" s="14"/>
      <c r="X361" s="15"/>
      <c r="Y361" s="14"/>
      <c r="Z361" s="9" t="s">
        <v>359</v>
      </c>
      <c r="AA361" s="9" t="s">
        <v>318</v>
      </c>
      <c r="AB361" s="9" t="s">
        <v>360</v>
      </c>
      <c r="AC361" s="9" t="s">
        <v>583</v>
      </c>
      <c r="AD361" s="9" t="s">
        <v>3297</v>
      </c>
      <c r="AE361" s="9"/>
    </row>
    <row r="362" spans="1:31" x14ac:dyDescent="0.2">
      <c r="A362" s="1" t="s">
        <v>31</v>
      </c>
      <c r="B362" s="1"/>
      <c r="C362" s="3">
        <v>45982</v>
      </c>
      <c r="D362" s="1" t="s">
        <v>49</v>
      </c>
      <c r="E362" s="1"/>
      <c r="F362" s="4" t="s">
        <v>3298</v>
      </c>
      <c r="G362" s="1">
        <v>2014</v>
      </c>
      <c r="H362" s="1" t="s">
        <v>3299</v>
      </c>
      <c r="I362" s="1" t="s">
        <v>233</v>
      </c>
      <c r="J362" s="1" t="s">
        <v>3300</v>
      </c>
      <c r="K362" s="1" t="s">
        <v>3301</v>
      </c>
      <c r="L362" s="1" t="s">
        <v>3302</v>
      </c>
      <c r="M362" s="1" t="s">
        <v>3303</v>
      </c>
      <c r="N362" s="5" t="str">
        <f>HYPERLINK("https://www.google.com/maps/search/?api=1&amp;query=119-04 144th St, Jamaica, New York 11436", "OPEN MAP")</f>
        <v>OPEN MAP</v>
      </c>
      <c r="O362" s="1" t="s">
        <v>3304</v>
      </c>
      <c r="P362" s="1" t="s">
        <v>42</v>
      </c>
      <c r="Q362" s="1" t="s">
        <v>251</v>
      </c>
      <c r="R362" s="1">
        <v>11436</v>
      </c>
      <c r="S362" s="6" t="s">
        <v>3305</v>
      </c>
      <c r="T362" s="7">
        <v>1091830.08</v>
      </c>
      <c r="U362" s="8">
        <v>45728</v>
      </c>
      <c r="V362" s="8"/>
      <c r="W362" s="7"/>
      <c r="X362" s="8"/>
      <c r="Y362" s="7"/>
      <c r="Z362" s="1" t="s">
        <v>3306</v>
      </c>
      <c r="AA362" s="1" t="s">
        <v>3307</v>
      </c>
      <c r="AB362" s="1" t="s">
        <v>1169</v>
      </c>
      <c r="AC362" s="1" t="s">
        <v>583</v>
      </c>
      <c r="AD362" s="1" t="s">
        <v>3308</v>
      </c>
      <c r="AE362" s="1"/>
    </row>
    <row r="363" spans="1:31" x14ac:dyDescent="0.2">
      <c r="A363" s="9" t="s">
        <v>31</v>
      </c>
      <c r="B363" s="9"/>
      <c r="C363" s="10">
        <v>45982</v>
      </c>
      <c r="D363" s="9" t="s">
        <v>49</v>
      </c>
      <c r="E363" s="9"/>
      <c r="F363" s="11" t="s">
        <v>3309</v>
      </c>
      <c r="G363" s="9">
        <v>2023</v>
      </c>
      <c r="H363" s="9" t="s">
        <v>3310</v>
      </c>
      <c r="I363" s="9" t="s">
        <v>2876</v>
      </c>
      <c r="J363" s="9" t="s">
        <v>3311</v>
      </c>
      <c r="K363" s="9" t="s">
        <v>3311</v>
      </c>
      <c r="L363" s="9"/>
      <c r="M363" s="9" t="s">
        <v>3312</v>
      </c>
      <c r="N363" s="12" t="str">
        <f>HYPERLINK("https://www.google.com/maps/search/?api=1&amp;query=14306 FERNDALE AVENUE, JAMAICA, NY 11435", "OPEN MAP")</f>
        <v>OPEN MAP</v>
      </c>
      <c r="O363" s="9" t="s">
        <v>3313</v>
      </c>
      <c r="P363" s="9" t="s">
        <v>274</v>
      </c>
      <c r="Q363" s="9" t="s">
        <v>43</v>
      </c>
      <c r="R363" s="9">
        <v>11435</v>
      </c>
      <c r="S363" s="13" t="s">
        <v>3314</v>
      </c>
      <c r="T363" s="14"/>
      <c r="U363" s="15">
        <v>45566</v>
      </c>
      <c r="V363" s="15"/>
      <c r="W363" s="14"/>
      <c r="X363" s="15"/>
      <c r="Y363" s="14"/>
      <c r="Z363" s="9"/>
      <c r="AA363" s="9" t="s">
        <v>60</v>
      </c>
      <c r="AB363" s="9" t="s">
        <v>61</v>
      </c>
      <c r="AC363" s="9"/>
      <c r="AD363" s="9" t="s">
        <v>93</v>
      </c>
      <c r="AE363" s="9"/>
    </row>
    <row r="364" spans="1:31" x14ac:dyDescent="0.2">
      <c r="A364" s="1" t="s">
        <v>31</v>
      </c>
      <c r="B364" s="1"/>
      <c r="C364" s="3">
        <v>45982</v>
      </c>
      <c r="D364" s="1" t="s">
        <v>49</v>
      </c>
      <c r="E364" s="1"/>
      <c r="F364" s="4" t="s">
        <v>3315</v>
      </c>
      <c r="G364" s="1">
        <v>2021</v>
      </c>
      <c r="H364" s="1" t="s">
        <v>3316</v>
      </c>
      <c r="I364" s="1" t="s">
        <v>118</v>
      </c>
      <c r="J364" s="1" t="s">
        <v>3317</v>
      </c>
      <c r="K364" s="1" t="s">
        <v>3318</v>
      </c>
      <c r="L364" s="1" t="s">
        <v>3319</v>
      </c>
      <c r="M364" s="1" t="s">
        <v>3320</v>
      </c>
      <c r="N364" s="5" t="str">
        <f>HYPERLINK("https://www.google.com/maps/search/?api=1&amp;query=92-05 101st Avenue Ozone Park, NY 11416", "OPEN MAP")</f>
        <v>OPEN MAP</v>
      </c>
      <c r="O364" s="1" t="s">
        <v>3321</v>
      </c>
      <c r="P364" s="1" t="s">
        <v>263</v>
      </c>
      <c r="Q364" s="1" t="s">
        <v>43</v>
      </c>
      <c r="R364" s="1">
        <v>11416</v>
      </c>
      <c r="S364" s="6" t="s">
        <v>3322</v>
      </c>
      <c r="T364" s="7"/>
      <c r="U364" s="8"/>
      <c r="V364" s="8">
        <v>38756</v>
      </c>
      <c r="W364" s="7">
        <v>416000</v>
      </c>
      <c r="X364" s="8"/>
      <c r="Y364" s="7"/>
      <c r="Z364" s="1" t="s">
        <v>3323</v>
      </c>
      <c r="AA364" s="1" t="s">
        <v>126</v>
      </c>
      <c r="AB364" s="1" t="s">
        <v>3324</v>
      </c>
      <c r="AC364" s="1" t="s">
        <v>2983</v>
      </c>
      <c r="AD364" s="1"/>
      <c r="AE364" s="1"/>
    </row>
    <row r="365" spans="1:31" x14ac:dyDescent="0.2">
      <c r="A365" s="9" t="s">
        <v>31</v>
      </c>
      <c r="B365" s="9"/>
      <c r="C365" s="10">
        <v>45982</v>
      </c>
      <c r="D365" s="9" t="s">
        <v>49</v>
      </c>
      <c r="E365" s="9"/>
      <c r="F365" s="11" t="s">
        <v>3325</v>
      </c>
      <c r="G365" s="9">
        <v>2009</v>
      </c>
      <c r="H365" s="9" t="s">
        <v>3326</v>
      </c>
      <c r="I365" s="9" t="s">
        <v>3327</v>
      </c>
      <c r="J365" s="9" t="s">
        <v>3328</v>
      </c>
      <c r="K365" s="9" t="s">
        <v>3328</v>
      </c>
      <c r="L365" s="9"/>
      <c r="M365" s="9" t="s">
        <v>3329</v>
      </c>
      <c r="N365" s="12" t="str">
        <f>HYPERLINK("https://www.google.com/maps/search/?api=1&amp;query=108-25 38th Avenue, Corona, NY 11368", "OPEN MAP")</f>
        <v>OPEN MAP</v>
      </c>
      <c r="O365" s="9" t="s">
        <v>3330</v>
      </c>
      <c r="P365" s="9" t="s">
        <v>228</v>
      </c>
      <c r="Q365" s="9" t="s">
        <v>43</v>
      </c>
      <c r="R365" s="9">
        <v>11368</v>
      </c>
      <c r="S365" s="13" t="s">
        <v>3331</v>
      </c>
      <c r="T365" s="14">
        <v>772358.33</v>
      </c>
      <c r="U365" s="15">
        <v>45293</v>
      </c>
      <c r="V365" s="15"/>
      <c r="W365" s="14"/>
      <c r="X365" s="15"/>
      <c r="Y365" s="14"/>
      <c r="Z365" s="9"/>
      <c r="AA365" s="9" t="s">
        <v>482</v>
      </c>
      <c r="AB365" s="9" t="s">
        <v>688</v>
      </c>
      <c r="AC365" s="9"/>
      <c r="AD365" s="9" t="s">
        <v>3332</v>
      </c>
      <c r="AE365" s="9"/>
    </row>
    <row r="366" spans="1:31" x14ac:dyDescent="0.2">
      <c r="A366" s="1" t="s">
        <v>31</v>
      </c>
      <c r="B366" s="1"/>
      <c r="C366" s="3">
        <v>45982</v>
      </c>
      <c r="D366" s="1" t="s">
        <v>49</v>
      </c>
      <c r="E366" s="1"/>
      <c r="F366" s="4" t="s">
        <v>3333</v>
      </c>
      <c r="G366" s="1">
        <v>2023</v>
      </c>
      <c r="H366" s="1" t="s">
        <v>3334</v>
      </c>
      <c r="I366" s="1" t="s">
        <v>203</v>
      </c>
      <c r="J366" s="1" t="s">
        <v>3335</v>
      </c>
      <c r="K366" s="1" t="s">
        <v>3336</v>
      </c>
      <c r="L366" s="1" t="s">
        <v>3337</v>
      </c>
      <c r="M366" s="1" t="s">
        <v>3338</v>
      </c>
      <c r="N366" s="5" t="str">
        <f>HYPERLINK("https://www.google.com/maps/search/?api=1&amp;query=115-112 225TH STREET, CAMBRIA HEIGHTS, NY 11411", "OPEN MAP")</f>
        <v>OPEN MAP</v>
      </c>
      <c r="O366" s="1" t="s">
        <v>3339</v>
      </c>
      <c r="P366" s="1" t="s">
        <v>375</v>
      </c>
      <c r="Q366" s="1" t="s">
        <v>43</v>
      </c>
      <c r="R366" s="1">
        <v>11411</v>
      </c>
      <c r="S366" s="6" t="s">
        <v>3340</v>
      </c>
      <c r="T366" s="7"/>
      <c r="U366" s="8">
        <v>45414</v>
      </c>
      <c r="V366" s="8"/>
      <c r="W366" s="7"/>
      <c r="X366" s="8"/>
      <c r="Y366" s="7"/>
      <c r="Z366" s="1"/>
      <c r="AA366" s="1" t="s">
        <v>60</v>
      </c>
      <c r="AB366" s="1" t="s">
        <v>61</v>
      </c>
      <c r="AC366" s="1"/>
      <c r="AD366" s="1" t="s">
        <v>3290</v>
      </c>
      <c r="AE366" s="1"/>
    </row>
    <row r="367" spans="1:31" x14ac:dyDescent="0.2">
      <c r="A367" s="9" t="s">
        <v>31</v>
      </c>
      <c r="B367" s="9"/>
      <c r="C367" s="10">
        <v>45982</v>
      </c>
      <c r="D367" s="9" t="s">
        <v>49</v>
      </c>
      <c r="E367" s="9"/>
      <c r="F367" s="11" t="s">
        <v>3341</v>
      </c>
      <c r="G367" s="9">
        <v>2014</v>
      </c>
      <c r="H367" s="9" t="s">
        <v>3342</v>
      </c>
      <c r="I367" s="9" t="s">
        <v>2876</v>
      </c>
      <c r="J367" s="9" t="s">
        <v>3343</v>
      </c>
      <c r="K367" s="9" t="s">
        <v>3344</v>
      </c>
      <c r="L367" s="9" t="s">
        <v>3345</v>
      </c>
      <c r="M367" s="9" t="s">
        <v>3346</v>
      </c>
      <c r="N367" s="12" t="str">
        <f>HYPERLINK("https://www.google.com/maps/search/?api=1&amp;query=85-18 95TH AVE, OZONE PARK, NY 11416", "OPEN MAP")</f>
        <v>OPEN MAP</v>
      </c>
      <c r="O367" s="9" t="s">
        <v>3347</v>
      </c>
      <c r="P367" s="9" t="s">
        <v>3348</v>
      </c>
      <c r="Q367" s="9" t="s">
        <v>43</v>
      </c>
      <c r="R367" s="9">
        <v>11416</v>
      </c>
      <c r="S367" s="13" t="s">
        <v>3349</v>
      </c>
      <c r="T367" s="14"/>
      <c r="U367" s="15">
        <v>44945</v>
      </c>
      <c r="V367" s="15"/>
      <c r="W367" s="14"/>
      <c r="X367" s="15"/>
      <c r="Y367" s="14"/>
      <c r="Z367" s="9"/>
      <c r="AA367" s="9" t="s">
        <v>60</v>
      </c>
      <c r="AB367" s="9" t="s">
        <v>61</v>
      </c>
      <c r="AC367" s="9"/>
      <c r="AD367" s="9" t="s">
        <v>669</v>
      </c>
      <c r="AE367" s="9"/>
    </row>
    <row r="368" spans="1:31" x14ac:dyDescent="0.2">
      <c r="A368" s="1" t="s">
        <v>31</v>
      </c>
      <c r="B368" s="1"/>
      <c r="C368" s="3">
        <v>45996</v>
      </c>
      <c r="D368" s="1" t="s">
        <v>49</v>
      </c>
      <c r="E368" s="1"/>
      <c r="F368" s="4" t="s">
        <v>3350</v>
      </c>
      <c r="G368" s="1">
        <v>2008</v>
      </c>
      <c r="H368" s="1" t="s">
        <v>3351</v>
      </c>
      <c r="I368" s="1" t="s">
        <v>3352</v>
      </c>
      <c r="J368" s="1" t="s">
        <v>3353</v>
      </c>
      <c r="K368" s="1" t="s">
        <v>3354</v>
      </c>
      <c r="L368" s="1" t="s">
        <v>3355</v>
      </c>
      <c r="M368" s="1" t="s">
        <v>3356</v>
      </c>
      <c r="N368" s="5" t="str">
        <f>HYPERLINK("https://www.google.com/maps/search/?api=1&amp;query=133-17 124TH STREET, SOUTH OZONE PARK, NEW YORK 11420-3218", "OPEN MAP")</f>
        <v>OPEN MAP</v>
      </c>
      <c r="O368" s="1" t="s">
        <v>3357</v>
      </c>
      <c r="P368" s="1" t="s">
        <v>207</v>
      </c>
      <c r="Q368" s="1" t="s">
        <v>765</v>
      </c>
      <c r="R368" s="1" t="s">
        <v>3358</v>
      </c>
      <c r="S368" s="6" t="s">
        <v>3359</v>
      </c>
      <c r="T368" s="7"/>
      <c r="U368" s="8"/>
      <c r="V368" s="8">
        <v>38427</v>
      </c>
      <c r="W368" s="7">
        <v>348000</v>
      </c>
      <c r="X368" s="8"/>
      <c r="Y368" s="7"/>
      <c r="Z368" s="1" t="s">
        <v>3360</v>
      </c>
      <c r="AA368" s="1" t="s">
        <v>60</v>
      </c>
      <c r="AB368" s="1" t="s">
        <v>768</v>
      </c>
      <c r="AC368" s="1" t="s">
        <v>3054</v>
      </c>
      <c r="AD368" s="1"/>
      <c r="AE368" s="1"/>
    </row>
    <row r="369" spans="1:31" x14ac:dyDescent="0.2">
      <c r="A369" s="9" t="s">
        <v>31</v>
      </c>
      <c r="B369" s="9"/>
      <c r="C369" s="10">
        <v>45996</v>
      </c>
      <c r="D369" s="9" t="s">
        <v>49</v>
      </c>
      <c r="E369" s="9"/>
      <c r="F369" s="11" t="s">
        <v>3361</v>
      </c>
      <c r="G369" s="9">
        <v>2013</v>
      </c>
      <c r="H369" s="9" t="s">
        <v>3362</v>
      </c>
      <c r="I369" s="9" t="s">
        <v>2082</v>
      </c>
      <c r="J369" s="9" t="s">
        <v>3363</v>
      </c>
      <c r="K369" s="9" t="s">
        <v>3364</v>
      </c>
      <c r="L369" s="9" t="s">
        <v>3365</v>
      </c>
      <c r="M369" s="9" t="s">
        <v>3366</v>
      </c>
      <c r="N369" s="12" t="str">
        <f>HYPERLINK("https://www.google.com/maps/search/?api=1&amp;query=16519 116TH AVENUE, JAMAICA, NY 11434", "OPEN MAP")</f>
        <v>OPEN MAP</v>
      </c>
      <c r="O369" s="9" t="s">
        <v>3367</v>
      </c>
      <c r="P369" s="9" t="s">
        <v>274</v>
      </c>
      <c r="Q369" s="9" t="s">
        <v>43</v>
      </c>
      <c r="R369" s="9">
        <v>11434</v>
      </c>
      <c r="S369" s="13" t="s">
        <v>3368</v>
      </c>
      <c r="T369" s="14">
        <v>537598.48</v>
      </c>
      <c r="U369" s="15">
        <v>44755</v>
      </c>
      <c r="V369" s="15"/>
      <c r="W369" s="14"/>
      <c r="X369" s="15"/>
      <c r="Y369" s="14"/>
      <c r="Z369" s="9" t="s">
        <v>779</v>
      </c>
      <c r="AA369" s="9" t="s">
        <v>780</v>
      </c>
      <c r="AB369" s="9" t="s">
        <v>781</v>
      </c>
      <c r="AC369" s="9"/>
      <c r="AD369" s="9" t="s">
        <v>3369</v>
      </c>
      <c r="AE369" s="9"/>
    </row>
    <row r="370" spans="1:31" x14ac:dyDescent="0.2">
      <c r="A370" s="1" t="s">
        <v>31</v>
      </c>
      <c r="B370" s="1"/>
      <c r="C370" s="3">
        <v>45996</v>
      </c>
      <c r="D370" s="1" t="s">
        <v>49</v>
      </c>
      <c r="E370" s="1"/>
      <c r="F370" s="4" t="s">
        <v>3370</v>
      </c>
      <c r="G370" s="1">
        <v>2009</v>
      </c>
      <c r="H370" s="1" t="s">
        <v>3371</v>
      </c>
      <c r="I370" s="1" t="s">
        <v>333</v>
      </c>
      <c r="J370" s="1" t="s">
        <v>3372</v>
      </c>
      <c r="K370" s="1" t="s">
        <v>3372</v>
      </c>
      <c r="L370" s="1"/>
      <c r="M370" s="1" t="s">
        <v>3373</v>
      </c>
      <c r="N370" s="5" t="str">
        <f>HYPERLINK("https://www.google.com/maps/search/?api=1&amp;query=213-16 102 AVENUE, QUEENS VILLAGE, NY 11429", "OPEN MAP")</f>
        <v>OPEN MAP</v>
      </c>
      <c r="O370" s="1" t="s">
        <v>3374</v>
      </c>
      <c r="P370" s="1" t="s">
        <v>515</v>
      </c>
      <c r="Q370" s="1" t="s">
        <v>43</v>
      </c>
      <c r="R370" s="1">
        <v>11429</v>
      </c>
      <c r="S370" s="6" t="s">
        <v>3375</v>
      </c>
      <c r="T370" s="7"/>
      <c r="U370" s="8">
        <v>43808</v>
      </c>
      <c r="V370" s="8"/>
      <c r="W370" s="7"/>
      <c r="X370" s="8"/>
      <c r="Y370" s="7"/>
      <c r="Z370" s="1"/>
      <c r="AA370" s="1" t="s">
        <v>60</v>
      </c>
      <c r="AB370" s="1" t="s">
        <v>61</v>
      </c>
      <c r="AC370" s="1"/>
      <c r="AD370" s="1" t="s">
        <v>2881</v>
      </c>
      <c r="AE370" s="1"/>
    </row>
    <row r="373" spans="1:31" x14ac:dyDescent="0.2">
      <c r="A373" s="18" t="s">
        <v>3376</v>
      </c>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c r="AD373" s="17"/>
      <c r="AE373" s="17"/>
    </row>
    <row r="375" spans="1:31" x14ac:dyDescent="0.2">
      <c r="A375" s="19" t="s">
        <v>3377</v>
      </c>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c r="AD375" s="17"/>
      <c r="AE375" s="17"/>
    </row>
    <row r="377" spans="1:31" x14ac:dyDescent="0.2">
      <c r="A377" s="16" t="s">
        <v>3378</v>
      </c>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c r="AD377" s="17"/>
      <c r="AE377" s="17"/>
    </row>
  </sheetData>
  <mergeCells count="3">
    <mergeCell ref="A377:AE377"/>
    <mergeCell ref="A373:AE373"/>
    <mergeCell ref="A375:AE375"/>
  </mergeCells>
  <hyperlinks>
    <hyperlink ref="A375" r:id="rId1" xr:uid="{00000000-0004-0000-0000-000000000000}"/>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2"/>
  <sheetViews>
    <sheetView workbookViewId="0">
      <pane ySplit="5" topLeftCell="A6" activePane="bottomLeft" state="frozen"/>
      <selection pane="bottomLeft"/>
    </sheetView>
  </sheetViews>
  <sheetFormatPr defaultRowHeight="15" x14ac:dyDescent="0.2"/>
  <cols>
    <col min="1" max="1" width="9.953125" customWidth="1"/>
    <col min="2" max="2" width="11.97265625" customWidth="1"/>
    <col min="3" max="3" width="14.9296875" customWidth="1"/>
    <col min="4" max="7" width="39.953125" customWidth="1"/>
    <col min="8" max="8" width="55.01953125" customWidth="1"/>
    <col min="9" max="9" width="11.97265625" customWidth="1"/>
    <col min="10" max="10" width="29.99609375" customWidth="1"/>
    <col min="11" max="11" width="20.04296875" customWidth="1"/>
    <col min="12" max="13" width="9.953125" customWidth="1"/>
    <col min="14" max="14" width="50.04296875" customWidth="1"/>
    <col min="15" max="15" width="13.046875" customWidth="1"/>
    <col min="16" max="16" width="14.9296875" customWidth="1"/>
    <col min="17" max="17" width="13.046875" customWidth="1"/>
    <col min="18" max="18" width="14.9296875" customWidth="1"/>
    <col min="19" max="19" width="18.96484375" customWidth="1"/>
    <col min="20" max="20" width="39.953125" customWidth="1"/>
    <col min="21" max="21" width="22.05859375" customWidth="1"/>
    <col min="22" max="22" width="18.0234375" customWidth="1"/>
  </cols>
  <sheetData>
    <row r="1" spans="1:22" x14ac:dyDescent="0.2">
      <c r="A1" s="1"/>
      <c r="B1" s="1"/>
      <c r="C1" s="1"/>
      <c r="D1" s="1"/>
      <c r="E1" s="1"/>
      <c r="F1" s="1"/>
      <c r="G1" s="1"/>
      <c r="H1" s="1"/>
      <c r="I1" s="1"/>
      <c r="J1" s="1"/>
      <c r="K1" s="1"/>
      <c r="L1" s="1"/>
      <c r="M1" s="1"/>
      <c r="N1" s="1"/>
      <c r="O1" s="1"/>
      <c r="P1" s="1"/>
      <c r="Q1" s="1"/>
      <c r="R1" s="1"/>
      <c r="S1" s="1"/>
      <c r="T1" s="1"/>
      <c r="U1" s="1"/>
      <c r="V1" s="1"/>
    </row>
    <row r="2" spans="1:22" x14ac:dyDescent="0.2">
      <c r="A2" s="1"/>
      <c r="B2" s="1"/>
      <c r="C2" s="1"/>
      <c r="D2" s="1"/>
      <c r="E2" s="1"/>
      <c r="F2" s="1"/>
      <c r="G2" s="1"/>
      <c r="H2" s="1"/>
      <c r="I2" s="1"/>
      <c r="J2" s="1"/>
      <c r="K2" s="1"/>
      <c r="L2" s="1"/>
      <c r="M2" s="1"/>
      <c r="N2" s="1"/>
      <c r="O2" s="1"/>
      <c r="P2" s="1"/>
      <c r="Q2" s="1"/>
      <c r="R2" s="1"/>
      <c r="S2" s="1"/>
      <c r="T2" s="1"/>
      <c r="U2" s="1"/>
      <c r="V2" s="1"/>
    </row>
    <row r="3" spans="1:22" x14ac:dyDescent="0.2">
      <c r="A3" s="1"/>
      <c r="B3" s="1"/>
      <c r="C3" s="1"/>
      <c r="D3" s="1"/>
      <c r="E3" s="1"/>
      <c r="F3" s="1"/>
      <c r="G3" s="1"/>
      <c r="H3" s="1"/>
      <c r="I3" s="1"/>
      <c r="J3" s="1"/>
      <c r="K3" s="1"/>
      <c r="L3" s="1"/>
      <c r="M3" s="1"/>
      <c r="N3" s="1"/>
      <c r="O3" s="1"/>
      <c r="P3" s="1"/>
      <c r="Q3" s="1"/>
      <c r="R3" s="1"/>
      <c r="S3" s="1"/>
      <c r="T3" s="1"/>
      <c r="U3" s="1"/>
      <c r="V3" s="1"/>
    </row>
    <row r="4" spans="1:22" x14ac:dyDescent="0.2">
      <c r="A4" s="1"/>
      <c r="B4" s="1"/>
      <c r="C4" s="1"/>
      <c r="D4" s="1"/>
      <c r="E4" s="1"/>
      <c r="F4" s="1"/>
      <c r="G4" s="1"/>
      <c r="H4" s="1"/>
      <c r="I4" s="1"/>
      <c r="J4" s="1"/>
      <c r="K4" s="1"/>
      <c r="L4" s="1"/>
      <c r="M4" s="1"/>
      <c r="N4" s="1"/>
      <c r="O4" s="1"/>
      <c r="P4" s="1"/>
      <c r="Q4" s="1"/>
      <c r="R4" s="1"/>
      <c r="S4" s="1"/>
      <c r="T4" s="1"/>
      <c r="U4" s="1"/>
      <c r="V4" s="1"/>
    </row>
    <row r="5" spans="1:22" ht="27.75" x14ac:dyDescent="0.2">
      <c r="A5" s="2" t="s">
        <v>0</v>
      </c>
      <c r="B5" s="2" t="s">
        <v>5</v>
      </c>
      <c r="C5" s="2" t="s">
        <v>3379</v>
      </c>
      <c r="D5" s="2" t="s">
        <v>8</v>
      </c>
      <c r="E5" s="2" t="s">
        <v>9</v>
      </c>
      <c r="F5" s="2" t="s">
        <v>10</v>
      </c>
      <c r="G5" s="2" t="s">
        <v>11</v>
      </c>
      <c r="H5" s="2" t="s">
        <v>12</v>
      </c>
      <c r="I5" s="2" t="s">
        <v>13</v>
      </c>
      <c r="J5" s="2" t="s">
        <v>14</v>
      </c>
      <c r="K5" s="2" t="s">
        <v>15</v>
      </c>
      <c r="L5" s="2" t="s">
        <v>16</v>
      </c>
      <c r="M5" s="2" t="s">
        <v>17</v>
      </c>
      <c r="N5" s="2" t="s">
        <v>18</v>
      </c>
      <c r="O5" s="2" t="s">
        <v>21</v>
      </c>
      <c r="P5" s="2" t="s">
        <v>22</v>
      </c>
      <c r="Q5" s="2" t="s">
        <v>23</v>
      </c>
      <c r="R5" s="2" t="s">
        <v>24</v>
      </c>
      <c r="S5" s="2" t="s">
        <v>25</v>
      </c>
      <c r="T5" s="2" t="s">
        <v>26</v>
      </c>
      <c r="U5" s="2" t="s">
        <v>27</v>
      </c>
      <c r="V5" s="2" t="s">
        <v>28</v>
      </c>
    </row>
    <row r="6" spans="1:22" x14ac:dyDescent="0.2">
      <c r="A6" s="1" t="s">
        <v>115</v>
      </c>
      <c r="B6" s="4" t="s">
        <v>3380</v>
      </c>
      <c r="C6" s="8">
        <v>45882</v>
      </c>
      <c r="D6" s="1" t="s">
        <v>3063</v>
      </c>
      <c r="E6" s="1" t="s">
        <v>3381</v>
      </c>
      <c r="F6" s="1" t="s">
        <v>3381</v>
      </c>
      <c r="G6" s="1"/>
      <c r="H6" s="1" t="s">
        <v>3382</v>
      </c>
      <c r="I6" s="5" t="str">
        <f>HYPERLINK("https://www.google.com/maps/search/?api=1&amp;query=" &amp; TEXT(H2, "General"), "OPEN MAP")</f>
        <v>OPEN MAP</v>
      </c>
      <c r="J6" s="1" t="s">
        <v>3383</v>
      </c>
      <c r="K6" s="1" t="s">
        <v>357</v>
      </c>
      <c r="L6" s="1" t="s">
        <v>43</v>
      </c>
      <c r="M6" s="1">
        <v>11412</v>
      </c>
      <c r="N6" s="6" t="s">
        <v>3384</v>
      </c>
      <c r="O6" s="8">
        <v>44105</v>
      </c>
      <c r="P6" s="7">
        <v>433239</v>
      </c>
      <c r="Q6" s="8"/>
      <c r="R6" s="7"/>
      <c r="S6" s="1" t="s">
        <v>1822</v>
      </c>
      <c r="T6" s="1" t="s">
        <v>1377</v>
      </c>
      <c r="U6" s="1" t="s">
        <v>518</v>
      </c>
      <c r="V6" s="1" t="s">
        <v>3385</v>
      </c>
    </row>
    <row r="7" spans="1:22" x14ac:dyDescent="0.2">
      <c r="A7" s="9" t="s">
        <v>31</v>
      </c>
      <c r="B7" s="11" t="s">
        <v>3386</v>
      </c>
      <c r="C7" s="15">
        <v>45882</v>
      </c>
      <c r="D7" s="9" t="s">
        <v>1008</v>
      </c>
      <c r="E7" s="9" t="s">
        <v>3387</v>
      </c>
      <c r="F7" s="9" t="s">
        <v>3388</v>
      </c>
      <c r="G7" s="9" t="s">
        <v>3389</v>
      </c>
      <c r="H7" s="9" t="s">
        <v>3390</v>
      </c>
      <c r="I7" s="12" t="str">
        <f>HYPERLINK("https://www.google.com/maps/search/?api=1&amp;query=" &amp; TEXT(H3, "General"), "OPEN MAP")</f>
        <v>OPEN MAP</v>
      </c>
      <c r="J7" s="9" t="s">
        <v>3391</v>
      </c>
      <c r="K7" s="9" t="s">
        <v>178</v>
      </c>
      <c r="L7" s="9" t="s">
        <v>251</v>
      </c>
      <c r="M7" s="9">
        <v>11429</v>
      </c>
      <c r="N7" s="13" t="s">
        <v>3392</v>
      </c>
      <c r="O7" s="15">
        <v>38456</v>
      </c>
      <c r="P7" s="14">
        <v>552500</v>
      </c>
      <c r="Q7" s="15">
        <v>41059</v>
      </c>
      <c r="R7" s="14">
        <v>334236.59999999998</v>
      </c>
      <c r="S7" s="9" t="s">
        <v>3393</v>
      </c>
      <c r="T7" s="9" t="s">
        <v>318</v>
      </c>
      <c r="U7" s="9" t="s">
        <v>360</v>
      </c>
      <c r="V7" s="9" t="s">
        <v>361</v>
      </c>
    </row>
    <row r="8" spans="1:22" x14ac:dyDescent="0.2">
      <c r="A8" s="1" t="s">
        <v>31</v>
      </c>
      <c r="B8" s="4" t="s">
        <v>3394</v>
      </c>
      <c r="C8" s="8">
        <v>45882</v>
      </c>
      <c r="D8" s="1" t="s">
        <v>279</v>
      </c>
      <c r="E8" s="1" t="s">
        <v>3395</v>
      </c>
      <c r="F8" s="1" t="s">
        <v>3395</v>
      </c>
      <c r="G8" s="1" t="s">
        <v>3396</v>
      </c>
      <c r="H8" s="1" t="s">
        <v>3397</v>
      </c>
      <c r="I8" s="5" t="str">
        <f>HYPERLINK("https://www.google.com/maps/search/?api=1&amp;query=" &amp; TEXT(H4, "General"), "OPEN MAP")</f>
        <v>OPEN MAP</v>
      </c>
      <c r="J8" s="1" t="s">
        <v>3398</v>
      </c>
      <c r="K8" s="1" t="s">
        <v>42</v>
      </c>
      <c r="L8" s="1" t="s">
        <v>43</v>
      </c>
      <c r="M8" s="1">
        <v>11434</v>
      </c>
      <c r="N8" s="6" t="s">
        <v>3399</v>
      </c>
      <c r="O8" s="8"/>
      <c r="P8" s="7"/>
      <c r="Q8" s="8"/>
      <c r="R8" s="7"/>
      <c r="S8" s="1" t="s">
        <v>1427</v>
      </c>
      <c r="T8" s="1" t="s">
        <v>1428</v>
      </c>
      <c r="U8" s="1" t="s">
        <v>1429</v>
      </c>
      <c r="V8" s="1" t="s">
        <v>1430</v>
      </c>
    </row>
    <row r="9" spans="1:22" x14ac:dyDescent="0.2">
      <c r="A9" s="9" t="s">
        <v>115</v>
      </c>
      <c r="B9" s="11" t="s">
        <v>3400</v>
      </c>
      <c r="C9" s="15">
        <v>45882</v>
      </c>
      <c r="D9" s="9" t="s">
        <v>3401</v>
      </c>
      <c r="E9" s="9" t="s">
        <v>3402</v>
      </c>
      <c r="F9" s="9" t="s">
        <v>3402</v>
      </c>
      <c r="G9" s="9" t="s">
        <v>3403</v>
      </c>
      <c r="H9" s="9" t="s">
        <v>3404</v>
      </c>
      <c r="I9" s="12" t="str">
        <f>HYPERLINK("https://www.google.com/maps/search/?api=1&amp;query=" &amp; TEXT(H5, "General"), "OPEN MAP")</f>
        <v>OPEN MAP</v>
      </c>
      <c r="J9" s="9" t="s">
        <v>3405</v>
      </c>
      <c r="K9" s="9" t="s">
        <v>1531</v>
      </c>
      <c r="L9" s="9" t="s">
        <v>43</v>
      </c>
      <c r="M9" s="9">
        <v>11379</v>
      </c>
      <c r="N9" s="13" t="s">
        <v>3406</v>
      </c>
      <c r="O9" s="15">
        <v>37291</v>
      </c>
      <c r="P9" s="14">
        <v>296000</v>
      </c>
      <c r="Q9" s="15">
        <v>45534</v>
      </c>
      <c r="R9" s="14">
        <v>112040.37</v>
      </c>
      <c r="S9" s="9" t="s">
        <v>3407</v>
      </c>
      <c r="T9" s="9" t="s">
        <v>3408</v>
      </c>
      <c r="U9" s="9" t="s">
        <v>329</v>
      </c>
      <c r="V9" s="9" t="s">
        <v>3409</v>
      </c>
    </row>
    <row r="10" spans="1:22" x14ac:dyDescent="0.2">
      <c r="A10" s="1" t="s">
        <v>31</v>
      </c>
      <c r="B10" s="4" t="s">
        <v>3410</v>
      </c>
      <c r="C10" s="8">
        <v>45882</v>
      </c>
      <c r="D10" s="1" t="s">
        <v>3411</v>
      </c>
      <c r="E10" s="1" t="s">
        <v>3412</v>
      </c>
      <c r="F10" s="1" t="s">
        <v>3412</v>
      </c>
      <c r="G10" s="1"/>
      <c r="H10" s="1" t="s">
        <v>3413</v>
      </c>
      <c r="I10" s="5" t="str">
        <f>HYPERLINK("https://www.google.com/maps/search/?api=1&amp;query=" &amp; TEXT(H6, "General"), "OPEN MAP")</f>
        <v>OPEN MAP</v>
      </c>
      <c r="J10" s="1" t="s">
        <v>3414</v>
      </c>
      <c r="K10" s="1" t="s">
        <v>3348</v>
      </c>
      <c r="L10" s="1" t="s">
        <v>765</v>
      </c>
      <c r="M10" s="1">
        <v>11417</v>
      </c>
      <c r="N10" s="6" t="s">
        <v>3415</v>
      </c>
      <c r="O10" s="8">
        <v>38786</v>
      </c>
      <c r="P10" s="7">
        <v>400000</v>
      </c>
      <c r="Q10" s="8">
        <v>43880</v>
      </c>
      <c r="R10" s="7"/>
      <c r="S10" s="1" t="s">
        <v>1970</v>
      </c>
      <c r="T10" s="1" t="s">
        <v>60</v>
      </c>
      <c r="U10" s="1" t="s">
        <v>768</v>
      </c>
      <c r="V10" s="1" t="s">
        <v>3054</v>
      </c>
    </row>
    <row r="11" spans="1:22" x14ac:dyDescent="0.2">
      <c r="A11" s="9" t="s">
        <v>31</v>
      </c>
      <c r="B11" s="11" t="s">
        <v>3416</v>
      </c>
      <c r="C11" s="15">
        <v>45882</v>
      </c>
      <c r="D11" s="9" t="s">
        <v>3417</v>
      </c>
      <c r="E11" s="9" t="s">
        <v>3418</v>
      </c>
      <c r="F11" s="9" t="s">
        <v>3418</v>
      </c>
      <c r="G11" s="9" t="s">
        <v>3419</v>
      </c>
      <c r="H11" s="9" t="s">
        <v>3420</v>
      </c>
      <c r="I11" s="12" t="str">
        <f>HYPERLINK("https://www.google.com/maps/search/?api=1&amp;query=" &amp; TEXT(H7, "General"), "OPEN MAP")</f>
        <v>OPEN MAP</v>
      </c>
      <c r="J11" s="9" t="s">
        <v>3421</v>
      </c>
      <c r="K11" s="9" t="s">
        <v>2145</v>
      </c>
      <c r="L11" s="9" t="s">
        <v>765</v>
      </c>
      <c r="M11" s="9">
        <v>11378</v>
      </c>
      <c r="N11" s="13" t="s">
        <v>3422</v>
      </c>
      <c r="O11" s="15">
        <v>40725</v>
      </c>
      <c r="P11" s="14">
        <v>517500</v>
      </c>
      <c r="Q11" s="15"/>
      <c r="R11" s="14"/>
      <c r="S11" s="9" t="s">
        <v>3423</v>
      </c>
      <c r="T11" s="9" t="s">
        <v>60</v>
      </c>
      <c r="U11" s="9" t="s">
        <v>768</v>
      </c>
      <c r="V11" s="9" t="s">
        <v>3054</v>
      </c>
    </row>
    <row r="12" spans="1:22" x14ac:dyDescent="0.2">
      <c r="A12" s="1" t="s">
        <v>115</v>
      </c>
      <c r="B12" s="4" t="s">
        <v>3424</v>
      </c>
      <c r="C12" s="8">
        <v>45882</v>
      </c>
      <c r="D12" s="1" t="s">
        <v>3425</v>
      </c>
      <c r="E12" s="1" t="s">
        <v>3426</v>
      </c>
      <c r="F12" s="1" t="s">
        <v>3426</v>
      </c>
      <c r="G12" s="1"/>
      <c r="H12" s="1" t="s">
        <v>3427</v>
      </c>
      <c r="I12" s="5" t="str">
        <f>HYPERLINK("https://www.google.com/maps/search/?api=1&amp;query=" &amp; TEXT(H8, "General"), "OPEN MAP")</f>
        <v>OPEN MAP</v>
      </c>
      <c r="J12" s="1" t="s">
        <v>3428</v>
      </c>
      <c r="K12" s="1" t="s">
        <v>559</v>
      </c>
      <c r="L12" s="1" t="s">
        <v>251</v>
      </c>
      <c r="M12" s="1">
        <v>11369</v>
      </c>
      <c r="N12" s="6" t="s">
        <v>3429</v>
      </c>
      <c r="O12" s="8">
        <v>43749</v>
      </c>
      <c r="P12" s="7"/>
      <c r="Q12" s="8"/>
      <c r="R12" s="7"/>
      <c r="S12" s="1" t="s">
        <v>3430</v>
      </c>
      <c r="T12" s="1" t="s">
        <v>2018</v>
      </c>
      <c r="U12" s="1" t="s">
        <v>2019</v>
      </c>
      <c r="V12" s="1" t="s">
        <v>2020</v>
      </c>
    </row>
    <row r="13" spans="1:22" x14ac:dyDescent="0.2">
      <c r="A13" s="9" t="s">
        <v>115</v>
      </c>
      <c r="B13" s="11" t="s">
        <v>3431</v>
      </c>
      <c r="C13" s="15">
        <v>45887</v>
      </c>
      <c r="D13" s="9" t="s">
        <v>3432</v>
      </c>
      <c r="E13" s="9" t="s">
        <v>3433</v>
      </c>
      <c r="F13" s="9" t="s">
        <v>3434</v>
      </c>
      <c r="G13" s="9" t="s">
        <v>3433</v>
      </c>
      <c r="H13" s="9" t="s">
        <v>3435</v>
      </c>
      <c r="I13" s="12" t="str">
        <f>HYPERLINK("https://www.google.com/maps/search/?api=1&amp;query=" &amp; TEXT(H9, "General"), "OPEN MAP")</f>
        <v>OPEN MAP</v>
      </c>
      <c r="J13" s="9" t="s">
        <v>3436</v>
      </c>
      <c r="K13" s="9" t="s">
        <v>656</v>
      </c>
      <c r="L13" s="9" t="s">
        <v>251</v>
      </c>
      <c r="M13" s="9">
        <v>11361</v>
      </c>
      <c r="N13" s="13" t="s">
        <v>3437</v>
      </c>
      <c r="O13" s="15">
        <v>38492</v>
      </c>
      <c r="P13" s="14">
        <v>350000</v>
      </c>
      <c r="Q13" s="15"/>
      <c r="R13" s="14"/>
      <c r="S13" s="9" t="s">
        <v>3438</v>
      </c>
      <c r="T13" s="9" t="s">
        <v>3439</v>
      </c>
      <c r="U13" s="9" t="s">
        <v>3440</v>
      </c>
      <c r="V13" s="9" t="s">
        <v>3441</v>
      </c>
    </row>
    <row r="14" spans="1:22" x14ac:dyDescent="0.2">
      <c r="A14" s="1" t="s">
        <v>31</v>
      </c>
      <c r="B14" s="4" t="s">
        <v>3442</v>
      </c>
      <c r="C14" s="8">
        <v>45883</v>
      </c>
      <c r="D14" s="1" t="s">
        <v>3443</v>
      </c>
      <c r="E14" s="1" t="s">
        <v>3444</v>
      </c>
      <c r="F14" s="1" t="s">
        <v>3444</v>
      </c>
      <c r="G14" s="1" t="s">
        <v>3445</v>
      </c>
      <c r="H14" s="1" t="s">
        <v>3446</v>
      </c>
      <c r="I14" s="5" t="str">
        <f>HYPERLINK("https://www.google.com/maps/search/?api=1&amp;query=" &amp; TEXT(H10, "General"), "OPEN MAP")</f>
        <v>OPEN MAP</v>
      </c>
      <c r="J14" s="1" t="s">
        <v>3447</v>
      </c>
      <c r="K14" s="1" t="s">
        <v>58</v>
      </c>
      <c r="L14" s="1" t="s">
        <v>765</v>
      </c>
      <c r="M14" s="1">
        <v>11369</v>
      </c>
      <c r="N14" s="6" t="s">
        <v>3448</v>
      </c>
      <c r="O14" s="8">
        <v>38308</v>
      </c>
      <c r="P14" s="7">
        <v>604000</v>
      </c>
      <c r="Q14" s="8"/>
      <c r="R14" s="7"/>
      <c r="S14" s="1" t="s">
        <v>3423</v>
      </c>
      <c r="T14" s="1" t="s">
        <v>3449</v>
      </c>
      <c r="U14" s="1" t="s">
        <v>768</v>
      </c>
      <c r="V14" s="1" t="s">
        <v>3054</v>
      </c>
    </row>
    <row r="15" spans="1:22" x14ac:dyDescent="0.2">
      <c r="A15" s="9" t="s">
        <v>115</v>
      </c>
      <c r="B15" s="11" t="s">
        <v>3450</v>
      </c>
      <c r="C15" s="15">
        <v>45884</v>
      </c>
      <c r="D15" s="9" t="s">
        <v>3401</v>
      </c>
      <c r="E15" s="9" t="s">
        <v>3451</v>
      </c>
      <c r="F15" s="9" t="s">
        <v>3451</v>
      </c>
      <c r="G15" s="9"/>
      <c r="H15" s="9" t="s">
        <v>3452</v>
      </c>
      <c r="I15" s="12" t="str">
        <f>HYPERLINK("https://www.google.com/maps/search/?api=1&amp;query=" &amp; TEXT(H11, "General"), "OPEN MAP")</f>
        <v>OPEN MAP</v>
      </c>
      <c r="J15" s="9" t="s">
        <v>3453</v>
      </c>
      <c r="K15" s="9" t="s">
        <v>69</v>
      </c>
      <c r="L15" s="9" t="s">
        <v>43</v>
      </c>
      <c r="M15" s="9">
        <v>11365</v>
      </c>
      <c r="N15" s="13" t="s">
        <v>3454</v>
      </c>
      <c r="O15" s="15">
        <v>39685</v>
      </c>
      <c r="P15" s="14">
        <v>417000</v>
      </c>
      <c r="Q15" s="15">
        <v>41855</v>
      </c>
      <c r="R15" s="14">
        <v>400700.63</v>
      </c>
      <c r="S15" s="9" t="s">
        <v>3455</v>
      </c>
      <c r="T15" s="9" t="s">
        <v>3408</v>
      </c>
      <c r="U15" s="9" t="s">
        <v>329</v>
      </c>
      <c r="V15" s="9" t="s">
        <v>3409</v>
      </c>
    </row>
    <row r="16" spans="1:22" x14ac:dyDescent="0.2">
      <c r="A16" s="1" t="s">
        <v>115</v>
      </c>
      <c r="B16" s="4" t="s">
        <v>3456</v>
      </c>
      <c r="C16" s="8">
        <v>45884</v>
      </c>
      <c r="D16" s="1" t="s">
        <v>3457</v>
      </c>
      <c r="E16" s="1" t="s">
        <v>3458</v>
      </c>
      <c r="F16" s="1" t="s">
        <v>3459</v>
      </c>
      <c r="G16" s="1"/>
      <c r="H16" s="1" t="s">
        <v>3460</v>
      </c>
      <c r="I16" s="5" t="str">
        <f>HYPERLINK("https://www.google.com/maps/search/?api=1&amp;query=" &amp; TEXT(H12, "General"), "OPEN MAP")</f>
        <v>OPEN MAP</v>
      </c>
      <c r="J16" s="1" t="s">
        <v>3461</v>
      </c>
      <c r="K16" s="1" t="s">
        <v>3462</v>
      </c>
      <c r="L16" s="1" t="s">
        <v>251</v>
      </c>
      <c r="M16" s="1">
        <v>11363</v>
      </c>
      <c r="N16" s="6" t="s">
        <v>3463</v>
      </c>
      <c r="O16" s="8">
        <v>44509</v>
      </c>
      <c r="P16" s="7"/>
      <c r="Q16" s="8"/>
      <c r="R16" s="7"/>
      <c r="S16" s="1" t="s">
        <v>3430</v>
      </c>
      <c r="T16" s="1" t="s">
        <v>2018</v>
      </c>
      <c r="U16" s="1" t="s">
        <v>2019</v>
      </c>
      <c r="V16" s="1" t="s">
        <v>2020</v>
      </c>
    </row>
    <row r="17" spans="1:22" x14ac:dyDescent="0.2">
      <c r="A17" s="9" t="s">
        <v>31</v>
      </c>
      <c r="B17" s="11" t="s">
        <v>3464</v>
      </c>
      <c r="C17" s="15">
        <v>45884</v>
      </c>
      <c r="D17" s="9" t="s">
        <v>712</v>
      </c>
      <c r="E17" s="9" t="s">
        <v>3465</v>
      </c>
      <c r="F17" s="9" t="s">
        <v>3466</v>
      </c>
      <c r="G17" s="9" t="s">
        <v>3467</v>
      </c>
      <c r="H17" s="9" t="s">
        <v>3468</v>
      </c>
      <c r="I17" s="12" t="str">
        <f>HYPERLINK("https://www.google.com/maps/search/?api=1&amp;query=" &amp; TEXT(H13, "General"), "OPEN MAP")</f>
        <v>OPEN MAP</v>
      </c>
      <c r="J17" s="9" t="s">
        <v>3469</v>
      </c>
      <c r="K17" s="9" t="s">
        <v>559</v>
      </c>
      <c r="L17" s="9" t="s">
        <v>251</v>
      </c>
      <c r="M17" s="9">
        <v>11370</v>
      </c>
      <c r="N17" s="13" t="s">
        <v>3470</v>
      </c>
      <c r="O17" s="15">
        <v>37181</v>
      </c>
      <c r="P17" s="14">
        <v>295000</v>
      </c>
      <c r="Q17" s="15">
        <v>38756</v>
      </c>
      <c r="R17" s="14">
        <v>351000</v>
      </c>
      <c r="S17" s="9" t="s">
        <v>3471</v>
      </c>
      <c r="T17" s="9" t="s">
        <v>843</v>
      </c>
      <c r="U17" s="9" t="s">
        <v>3472</v>
      </c>
      <c r="V17" s="9" t="s">
        <v>3473</v>
      </c>
    </row>
    <row r="18" spans="1:22" x14ac:dyDescent="0.2">
      <c r="A18" s="1" t="s">
        <v>115</v>
      </c>
      <c r="B18" s="4" t="s">
        <v>3474</v>
      </c>
      <c r="C18" s="8">
        <v>45884</v>
      </c>
      <c r="D18" s="1" t="s">
        <v>2012</v>
      </c>
      <c r="E18" s="1" t="s">
        <v>3475</v>
      </c>
      <c r="F18" s="1" t="s">
        <v>3476</v>
      </c>
      <c r="G18" s="1" t="s">
        <v>3477</v>
      </c>
      <c r="H18" s="1" t="s">
        <v>3478</v>
      </c>
      <c r="I18" s="5" t="str">
        <f>HYPERLINK("https://www.google.com/maps/search/?api=1&amp;query=" &amp; TEXT(H14, "General"), "OPEN MAP")</f>
        <v>OPEN MAP</v>
      </c>
      <c r="J18" s="1" t="s">
        <v>3479</v>
      </c>
      <c r="K18" s="1" t="s">
        <v>138</v>
      </c>
      <c r="L18" s="1" t="s">
        <v>43</v>
      </c>
      <c r="M18" s="1">
        <v>11693</v>
      </c>
      <c r="N18" s="6" t="s">
        <v>3480</v>
      </c>
      <c r="O18" s="8">
        <v>39071</v>
      </c>
      <c r="P18" s="7">
        <v>210000</v>
      </c>
      <c r="Q18" s="8">
        <v>42809</v>
      </c>
      <c r="R18" s="7"/>
      <c r="S18" s="1" t="s">
        <v>619</v>
      </c>
      <c r="T18" s="1" t="s">
        <v>1377</v>
      </c>
      <c r="U18" s="1" t="s">
        <v>518</v>
      </c>
      <c r="V18" s="1" t="s">
        <v>3385</v>
      </c>
    </row>
    <row r="19" spans="1:22" x14ac:dyDescent="0.2">
      <c r="A19" s="9" t="s">
        <v>31</v>
      </c>
      <c r="B19" s="11" t="s">
        <v>3481</v>
      </c>
      <c r="C19" s="15">
        <v>45887</v>
      </c>
      <c r="D19" s="9" t="s">
        <v>233</v>
      </c>
      <c r="E19" s="9" t="s">
        <v>3482</v>
      </c>
      <c r="F19" s="9" t="s">
        <v>3483</v>
      </c>
      <c r="G19" s="9" t="s">
        <v>3484</v>
      </c>
      <c r="H19" s="9" t="s">
        <v>3485</v>
      </c>
      <c r="I19" s="12" t="str">
        <f>HYPERLINK("https://www.google.com/maps/search/?api=1&amp;query=" &amp; TEXT(H15, "General"), "OPEN MAP")</f>
        <v>OPEN MAP</v>
      </c>
      <c r="J19" s="9" t="s">
        <v>3486</v>
      </c>
      <c r="K19" s="9" t="s">
        <v>3487</v>
      </c>
      <c r="L19" s="9" t="s">
        <v>765</v>
      </c>
      <c r="M19" s="9">
        <v>11385</v>
      </c>
      <c r="N19" s="13" t="s">
        <v>3488</v>
      </c>
      <c r="O19" s="15">
        <v>38952</v>
      </c>
      <c r="P19" s="14">
        <v>295000</v>
      </c>
      <c r="Q19" s="15">
        <v>42866</v>
      </c>
      <c r="R19" s="14"/>
      <c r="S19" s="9" t="s">
        <v>3423</v>
      </c>
      <c r="T19" s="9" t="s">
        <v>3489</v>
      </c>
      <c r="U19" s="9" t="s">
        <v>768</v>
      </c>
      <c r="V19" s="9" t="s">
        <v>3054</v>
      </c>
    </row>
    <row r="20" spans="1:22" x14ac:dyDescent="0.2">
      <c r="A20" s="1" t="s">
        <v>31</v>
      </c>
      <c r="B20" s="4" t="s">
        <v>3490</v>
      </c>
      <c r="C20" s="8">
        <v>45887</v>
      </c>
      <c r="D20" s="1" t="s">
        <v>2322</v>
      </c>
      <c r="E20" s="1" t="s">
        <v>3491</v>
      </c>
      <c r="F20" s="1" t="s">
        <v>3491</v>
      </c>
      <c r="G20" s="1" t="s">
        <v>3492</v>
      </c>
      <c r="H20" s="1" t="s">
        <v>3493</v>
      </c>
      <c r="I20" s="5" t="str">
        <f>HYPERLINK("https://www.google.com/maps/search/?api=1&amp;query=" &amp; TEXT(H16, "General"), "OPEN MAP")</f>
        <v>OPEN MAP</v>
      </c>
      <c r="J20" s="1" t="s">
        <v>3494</v>
      </c>
      <c r="K20" s="1" t="s">
        <v>69</v>
      </c>
      <c r="L20" s="1" t="s">
        <v>43</v>
      </c>
      <c r="M20" s="1">
        <v>11365</v>
      </c>
      <c r="N20" s="6" t="s">
        <v>3495</v>
      </c>
      <c r="O20" s="8">
        <v>33847</v>
      </c>
      <c r="P20" s="7">
        <v>135000</v>
      </c>
      <c r="Q20" s="8">
        <v>41206</v>
      </c>
      <c r="R20" s="7">
        <v>95272</v>
      </c>
      <c r="S20" s="1" t="s">
        <v>2329</v>
      </c>
      <c r="T20" s="1" t="s">
        <v>482</v>
      </c>
      <c r="U20" s="1" t="s">
        <v>688</v>
      </c>
      <c r="V20" s="1" t="s">
        <v>2330</v>
      </c>
    </row>
    <row r="21" spans="1:22" x14ac:dyDescent="0.2">
      <c r="A21" s="9" t="s">
        <v>115</v>
      </c>
      <c r="B21" s="11" t="s">
        <v>3496</v>
      </c>
      <c r="C21" s="15">
        <v>45887</v>
      </c>
      <c r="D21" s="9" t="s">
        <v>3497</v>
      </c>
      <c r="E21" s="9" t="s">
        <v>3498</v>
      </c>
      <c r="F21" s="9" t="s">
        <v>3498</v>
      </c>
      <c r="G21" s="9"/>
      <c r="H21" s="9" t="s">
        <v>3499</v>
      </c>
      <c r="I21" s="12" t="str">
        <f>HYPERLINK("https://www.google.com/maps/search/?api=1&amp;query=" &amp; TEXT(H17, "General"), "OPEN MAP")</f>
        <v>OPEN MAP</v>
      </c>
      <c r="J21" s="9" t="s">
        <v>3500</v>
      </c>
      <c r="K21" s="9" t="s">
        <v>578</v>
      </c>
      <c r="L21" s="9" t="s">
        <v>251</v>
      </c>
      <c r="M21" s="9">
        <v>11375</v>
      </c>
      <c r="N21" s="13" t="s">
        <v>3501</v>
      </c>
      <c r="O21" s="15">
        <v>42307</v>
      </c>
      <c r="P21" s="14">
        <v>938250</v>
      </c>
      <c r="Q21" s="15"/>
      <c r="R21" s="14"/>
      <c r="S21" s="9" t="s">
        <v>3393</v>
      </c>
      <c r="T21" s="9" t="s">
        <v>318</v>
      </c>
      <c r="U21" s="9" t="s">
        <v>360</v>
      </c>
      <c r="V21" s="9" t="s">
        <v>361</v>
      </c>
    </row>
    <row r="22" spans="1:22" x14ac:dyDescent="0.2">
      <c r="A22" s="1" t="s">
        <v>31</v>
      </c>
      <c r="B22" s="4" t="s">
        <v>3502</v>
      </c>
      <c r="C22" s="8">
        <v>45887</v>
      </c>
      <c r="D22" s="1" t="s">
        <v>2012</v>
      </c>
      <c r="E22" s="1" t="s">
        <v>3503</v>
      </c>
      <c r="F22" s="1" t="s">
        <v>3503</v>
      </c>
      <c r="G22" s="1"/>
      <c r="H22" s="1" t="s">
        <v>3504</v>
      </c>
      <c r="I22" s="5" t="str">
        <f>HYPERLINK("https://www.google.com/maps/search/?api=1&amp;query=" &amp; TEXT(H18, "General"), "OPEN MAP")</f>
        <v>OPEN MAP</v>
      </c>
      <c r="J22" s="1" t="s">
        <v>3505</v>
      </c>
      <c r="K22" s="1" t="s">
        <v>506</v>
      </c>
      <c r="L22" s="1" t="s">
        <v>43</v>
      </c>
      <c r="M22" s="1">
        <v>11375</v>
      </c>
      <c r="N22" s="6" t="s">
        <v>3506</v>
      </c>
      <c r="O22" s="8">
        <v>44104</v>
      </c>
      <c r="P22" s="7">
        <v>1672500</v>
      </c>
      <c r="Q22" s="8"/>
      <c r="R22" s="7"/>
      <c r="S22" s="1" t="s">
        <v>3507</v>
      </c>
      <c r="T22" s="1" t="s">
        <v>2665</v>
      </c>
      <c r="U22" s="1" t="s">
        <v>1015</v>
      </c>
      <c r="V22" s="1" t="s">
        <v>2795</v>
      </c>
    </row>
    <row r="23" spans="1:22" x14ac:dyDescent="0.2">
      <c r="A23" s="9" t="s">
        <v>31</v>
      </c>
      <c r="B23" s="11" t="s">
        <v>3508</v>
      </c>
      <c r="C23" s="15">
        <v>45887</v>
      </c>
      <c r="D23" s="9" t="s">
        <v>3509</v>
      </c>
      <c r="E23" s="9" t="s">
        <v>3510</v>
      </c>
      <c r="F23" s="9" t="s">
        <v>3511</v>
      </c>
      <c r="G23" s="9" t="s">
        <v>3512</v>
      </c>
      <c r="H23" s="9" t="s">
        <v>3513</v>
      </c>
      <c r="I23" s="12" t="str">
        <f>HYPERLINK("https://www.google.com/maps/search/?api=1&amp;query=" &amp; TEXT(H19, "General"), "OPEN MAP")</f>
        <v>OPEN MAP</v>
      </c>
      <c r="J23" s="9" t="s">
        <v>3514</v>
      </c>
      <c r="K23" s="9" t="s">
        <v>1253</v>
      </c>
      <c r="L23" s="9" t="s">
        <v>765</v>
      </c>
      <c r="M23" s="9">
        <v>11412</v>
      </c>
      <c r="N23" s="13" t="s">
        <v>3515</v>
      </c>
      <c r="O23" s="15">
        <v>44550</v>
      </c>
      <c r="P23" s="14">
        <v>1002000</v>
      </c>
      <c r="Q23" s="15"/>
      <c r="R23" s="14"/>
      <c r="S23" s="9" t="s">
        <v>2147</v>
      </c>
      <c r="T23" s="9" t="s">
        <v>3516</v>
      </c>
      <c r="U23" s="9" t="s">
        <v>768</v>
      </c>
      <c r="V23" s="9" t="s">
        <v>3054</v>
      </c>
    </row>
    <row r="24" spans="1:22" x14ac:dyDescent="0.2">
      <c r="A24" s="1" t="s">
        <v>31</v>
      </c>
      <c r="B24" s="4" t="s">
        <v>3517</v>
      </c>
      <c r="C24" s="8">
        <v>45887</v>
      </c>
      <c r="D24" s="1" t="s">
        <v>3518</v>
      </c>
      <c r="E24" s="1" t="s">
        <v>3519</v>
      </c>
      <c r="F24" s="1" t="s">
        <v>3519</v>
      </c>
      <c r="G24" s="1"/>
      <c r="H24" s="1" t="s">
        <v>3520</v>
      </c>
      <c r="I24" s="5" t="str">
        <f>HYPERLINK("https://www.google.com/maps/search/?api=1&amp;query=" &amp; TEXT(H20, "General"), "OPEN MAP")</f>
        <v>OPEN MAP</v>
      </c>
      <c r="J24" s="1" t="s">
        <v>3521</v>
      </c>
      <c r="K24" s="1" t="s">
        <v>1013</v>
      </c>
      <c r="L24" s="1" t="s">
        <v>251</v>
      </c>
      <c r="M24" s="1">
        <v>11106</v>
      </c>
      <c r="N24" s="6" t="s">
        <v>3522</v>
      </c>
      <c r="O24" s="8">
        <v>44722</v>
      </c>
      <c r="P24" s="7">
        <v>1000000</v>
      </c>
      <c r="Q24" s="8"/>
      <c r="R24" s="7"/>
      <c r="S24" s="1" t="s">
        <v>3523</v>
      </c>
      <c r="T24" s="1" t="s">
        <v>3524</v>
      </c>
      <c r="U24" s="1" t="s">
        <v>3525</v>
      </c>
      <c r="V24" s="1" t="s">
        <v>3526</v>
      </c>
    </row>
    <row r="25" spans="1:22" x14ac:dyDescent="0.2">
      <c r="A25" s="9" t="s">
        <v>115</v>
      </c>
      <c r="B25" s="11" t="s">
        <v>3527</v>
      </c>
      <c r="C25" s="15">
        <v>45888</v>
      </c>
      <c r="D25" s="9" t="s">
        <v>3528</v>
      </c>
      <c r="E25" s="9" t="s">
        <v>3529</v>
      </c>
      <c r="F25" s="9" t="s">
        <v>3529</v>
      </c>
      <c r="G25" s="9"/>
      <c r="H25" s="9" t="s">
        <v>3530</v>
      </c>
      <c r="I25" s="12" t="str">
        <f>HYPERLINK("https://www.google.com/maps/search/?api=1&amp;query=" &amp; TEXT(H21, "General"), "OPEN MAP")</f>
        <v>OPEN MAP</v>
      </c>
      <c r="J25" s="9" t="s">
        <v>3531</v>
      </c>
      <c r="K25" s="9" t="s">
        <v>395</v>
      </c>
      <c r="L25" s="9" t="s">
        <v>43</v>
      </c>
      <c r="M25" s="9">
        <v>11374</v>
      </c>
      <c r="N25" s="13" t="s">
        <v>3532</v>
      </c>
      <c r="O25" s="15">
        <v>45532</v>
      </c>
      <c r="P25" s="14">
        <v>217500</v>
      </c>
      <c r="Q25" s="15"/>
      <c r="R25" s="14"/>
      <c r="S25" s="9" t="s">
        <v>3533</v>
      </c>
      <c r="T25" s="9" t="s">
        <v>2031</v>
      </c>
      <c r="U25" s="9" t="s">
        <v>2032</v>
      </c>
      <c r="V25" s="9" t="s">
        <v>3534</v>
      </c>
    </row>
    <row r="28" spans="1:22" x14ac:dyDescent="0.2">
      <c r="A28" s="18" t="s">
        <v>3535</v>
      </c>
      <c r="B28" s="17"/>
      <c r="C28" s="17"/>
      <c r="D28" s="17"/>
      <c r="E28" s="17"/>
      <c r="F28" s="17"/>
      <c r="G28" s="17"/>
      <c r="H28" s="17"/>
      <c r="I28" s="17"/>
      <c r="J28" s="17"/>
      <c r="K28" s="17"/>
      <c r="L28" s="17"/>
      <c r="M28" s="17"/>
      <c r="N28" s="17"/>
      <c r="O28" s="17"/>
      <c r="P28" s="17"/>
      <c r="Q28" s="17"/>
      <c r="R28" s="17"/>
      <c r="S28" s="17"/>
      <c r="T28" s="17"/>
      <c r="U28" s="17"/>
      <c r="V28" s="17"/>
    </row>
    <row r="30" spans="1:22" x14ac:dyDescent="0.2">
      <c r="A30" s="19" t="s">
        <v>3377</v>
      </c>
      <c r="B30" s="17"/>
      <c r="C30" s="17"/>
      <c r="D30" s="17"/>
      <c r="E30" s="17"/>
      <c r="F30" s="17"/>
      <c r="G30" s="17"/>
      <c r="H30" s="17"/>
      <c r="I30" s="17"/>
      <c r="J30" s="17"/>
      <c r="K30" s="17"/>
      <c r="L30" s="17"/>
      <c r="M30" s="17"/>
      <c r="N30" s="17"/>
      <c r="O30" s="17"/>
      <c r="P30" s="17"/>
      <c r="Q30" s="17"/>
      <c r="R30" s="17"/>
      <c r="S30" s="17"/>
      <c r="T30" s="17"/>
      <c r="U30" s="17"/>
      <c r="V30" s="17"/>
    </row>
    <row r="32" spans="1:22" x14ac:dyDescent="0.2">
      <c r="A32" s="16" t="s">
        <v>3536</v>
      </c>
      <c r="B32" s="17"/>
      <c r="C32" s="17"/>
      <c r="D32" s="17"/>
      <c r="E32" s="17"/>
      <c r="F32" s="17"/>
      <c r="G32" s="17"/>
      <c r="H32" s="17"/>
      <c r="I32" s="17"/>
      <c r="J32" s="17"/>
      <c r="K32" s="17"/>
      <c r="L32" s="17"/>
      <c r="M32" s="17"/>
      <c r="N32" s="17"/>
      <c r="O32" s="17"/>
      <c r="P32" s="17"/>
      <c r="Q32" s="17"/>
      <c r="R32" s="17"/>
      <c r="S32" s="17"/>
      <c r="T32" s="17"/>
      <c r="U32" s="17"/>
      <c r="V32" s="17"/>
    </row>
  </sheetData>
  <mergeCells count="3">
    <mergeCell ref="A30:V30"/>
    <mergeCell ref="A28:V28"/>
    <mergeCell ref="A32:V32"/>
  </mergeCells>
  <hyperlinks>
    <hyperlink ref="A30" r:id="rId1" xr:uid="{00000000-0004-0000-0100-000000000000}"/>
  </hyperlinks>
  <pageMargins left="0.75" right="0.75" top="1" bottom="1" header="0.5" footer="0.5"/>
  <drawing r:id="rId2"/>
</worksheet>
</file>

<file path=docProps/app.xml><?xml version="1.0" encoding="utf-8"?>
<Properties xmlns="http://schemas.openxmlformats.org/officeDocument/2006/extended-properties" xmlns:vt="http://schemas.openxmlformats.org/officeDocument/2006/docPropsVTypes">
  <Application>Excel Android</Application>
  <ScaleCrop>false</ScaleCrop>
  <HeadingPairs>
    <vt:vector size="2" baseType="variant">
      <vt:variant>
        <vt:lpstr>Worksheets</vt:lpstr>
      </vt:variant>
      <vt:variant>
        <vt:i4>2</vt:i4>
      </vt:variant>
    </vt:vector>
  </HeadingPairs>
  <TitlesOfParts>
    <vt:vector size="2" baseType="lpstr">
      <vt:lpstr>Auction Sales</vt:lpstr>
      <vt:lpstr>Lis Pendens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dcterms:created xsi:type="dcterms:W3CDTF">2025-08-21T16:26:44Z</dcterms:created>
  <dcterms:modified xsi:type="dcterms:W3CDTF">2025-08-21T16:26:46Z</dcterms:modified>
</cp:coreProperties>
</file>